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20 403р Конкурс УЮТ+Партнер\Лот №1 УЮТ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ER39" i="3" l="1"/>
  <c r="ER38" i="3"/>
  <c r="EQ38" i="3"/>
  <c r="EN37" i="3"/>
  <c r="EM37" i="3"/>
  <c r="EO37" i="3" l="1"/>
  <c r="EO36" i="3"/>
  <c r="EO35" i="3"/>
  <c r="EO33" i="3"/>
  <c r="EO32" i="3"/>
  <c r="EO31" i="3"/>
  <c r="EO30" i="3"/>
  <c r="EO29" i="3"/>
  <c r="EO27" i="3"/>
  <c r="EO26" i="3"/>
  <c r="EO25" i="3"/>
  <c r="EO24" i="3"/>
  <c r="EO22" i="3"/>
  <c r="EO21" i="3"/>
  <c r="EO20" i="3"/>
  <c r="EO19" i="3"/>
  <c r="EO18" i="3"/>
  <c r="EO17" i="3"/>
  <c r="EO16" i="3"/>
  <c r="EO15" i="3"/>
  <c r="EO13" i="3"/>
  <c r="EO12" i="3"/>
  <c r="EO10" i="3"/>
  <c r="EO11" i="3"/>
  <c r="EN36" i="3"/>
  <c r="EN33" i="3"/>
  <c r="EN32" i="3"/>
  <c r="EN31" i="3"/>
  <c r="EN30" i="3"/>
  <c r="EN29" i="3"/>
  <c r="EN27" i="3"/>
  <c r="EN26" i="3"/>
  <c r="EN25" i="3"/>
  <c r="EN24" i="3"/>
  <c r="EN22" i="3"/>
  <c r="EN21" i="3"/>
  <c r="EN20" i="3"/>
  <c r="EN19" i="3"/>
  <c r="EN18" i="3"/>
  <c r="EN17" i="3"/>
  <c r="EN16" i="3"/>
  <c r="EN15" i="3"/>
  <c r="EN13" i="3"/>
  <c r="EN12" i="3"/>
  <c r="EN11" i="3"/>
  <c r="EN10" i="3"/>
  <c r="EM36" i="3"/>
  <c r="EM33" i="3"/>
  <c r="EM32" i="3"/>
  <c r="EM31" i="3"/>
  <c r="EM30" i="3"/>
  <c r="EM29" i="3"/>
  <c r="EM27" i="3"/>
  <c r="EM26" i="3" l="1"/>
  <c r="EM25" i="3"/>
  <c r="EM24" i="3"/>
  <c r="EM22" i="3"/>
  <c r="EM21" i="3"/>
  <c r="EM19" i="3"/>
  <c r="EM18" i="3"/>
  <c r="EM17" i="3"/>
  <c r="EM16" i="3"/>
  <c r="EM15" i="3"/>
  <c r="EM13" i="3"/>
  <c r="EM12" i="3"/>
  <c r="EM11" i="3"/>
  <c r="EM10" i="3"/>
  <c r="EL33" i="3"/>
  <c r="EL37" i="3"/>
  <c r="EL36" i="3"/>
  <c r="EL32" i="3"/>
  <c r="EL31" i="3"/>
  <c r="EL30" i="3"/>
  <c r="EL29" i="3"/>
  <c r="EL27" i="3"/>
  <c r="EL26" i="3"/>
  <c r="EL25" i="3"/>
  <c r="EL24" i="3"/>
  <c r="EL22" i="3"/>
  <c r="EL21" i="3"/>
  <c r="EL20" i="3"/>
  <c r="EL19" i="3"/>
  <c r="EL18" i="3"/>
  <c r="EL17" i="3"/>
  <c r="EL16" i="3"/>
  <c r="EL15" i="3"/>
  <c r="EL13" i="3"/>
  <c r="EL12" i="3"/>
  <c r="EL11" i="3"/>
  <c r="EL10" i="3"/>
  <c r="EK37" i="3"/>
  <c r="EK36" i="3"/>
  <c r="EK33" i="3"/>
  <c r="EK32" i="3"/>
  <c r="EK31" i="3"/>
  <c r="EK30" i="3"/>
  <c r="EK29" i="3"/>
  <c r="EK27" i="3"/>
  <c r="EK26" i="3"/>
  <c r="EK25" i="3"/>
  <c r="EK22" i="3"/>
  <c r="EK21" i="3"/>
  <c r="EK20" i="3"/>
  <c r="EK19" i="3"/>
  <c r="EK17" i="3"/>
  <c r="EK16" i="3"/>
  <c r="EK15" i="3"/>
  <c r="EK13" i="3"/>
  <c r="EK12" i="3"/>
  <c r="EK11" i="3"/>
  <c r="EK10" i="3"/>
  <c r="EK23" i="3" l="1"/>
  <c r="EN28" i="3" l="1"/>
  <c r="EN23" i="3"/>
  <c r="EN14" i="3"/>
  <c r="EN9" i="3"/>
  <c r="EL23" i="3"/>
  <c r="EL14" i="3"/>
  <c r="EL9" i="3"/>
  <c r="EM28" i="3"/>
  <c r="EM23" i="3"/>
  <c r="EM14" i="3"/>
  <c r="EM9" i="3"/>
  <c r="EN38" i="3" l="1"/>
  <c r="EN40" i="3" s="1"/>
  <c r="EM38" i="3"/>
  <c r="EM40" i="3" s="1"/>
  <c r="EO28" i="3"/>
  <c r="EK28" i="3"/>
  <c r="EO23" i="3"/>
  <c r="EO14" i="3"/>
  <c r="EK14" i="3"/>
  <c r="EO9" i="3"/>
  <c r="EK9" i="3"/>
  <c r="EO38" i="3" l="1"/>
  <c r="EO40" i="3" s="1"/>
  <c r="EK38" i="3"/>
  <c r="EK40" i="3" s="1"/>
  <c r="AA37" i="3"/>
  <c r="AA10" i="3" l="1"/>
  <c r="AA11" i="3"/>
  <c r="AA15" i="3"/>
  <c r="AA16" i="3"/>
  <c r="AA17" i="3"/>
  <c r="AA18" i="3"/>
  <c r="AA19" i="3"/>
  <c r="AA20" i="3"/>
  <c r="AA25" i="3"/>
  <c r="AA26" i="3"/>
  <c r="AA27" i="3"/>
  <c r="AA29" i="3"/>
  <c r="AA30" i="3"/>
  <c r="AA31" i="3"/>
  <c r="AA32" i="3"/>
  <c r="AA33" i="3"/>
  <c r="AA35" i="3"/>
  <c r="AA36" i="3"/>
  <c r="AI10" i="3"/>
  <c r="AI11" i="3"/>
  <c r="AI15" i="3"/>
  <c r="AI16" i="3"/>
  <c r="AI17" i="3"/>
  <c r="AI18" i="3"/>
  <c r="AI19" i="3"/>
  <c r="AI20" i="3"/>
  <c r="AI25" i="3"/>
  <c r="AI26" i="3"/>
  <c r="AI27" i="3"/>
  <c r="AI29" i="3"/>
  <c r="AI30" i="3"/>
  <c r="AI31" i="3"/>
  <c r="AI32" i="3"/>
  <c r="AI33" i="3"/>
  <c r="AI35" i="3"/>
  <c r="AI37" i="3"/>
  <c r="EG37" i="3"/>
  <c r="EH37" i="3"/>
  <c r="AA28" i="3" l="1"/>
  <c r="AA14" i="3"/>
  <c r="AA24" i="3"/>
  <c r="AA9" i="3"/>
  <c r="AI28" i="3"/>
  <c r="AI14" i="3"/>
  <c r="AI24" i="3"/>
  <c r="AI9" i="3"/>
  <c r="EH11" i="3"/>
  <c r="EH10" i="3" s="1"/>
  <c r="EH9" i="3" s="1"/>
  <c r="EH15" i="3"/>
  <c r="EH16" i="3"/>
  <c r="EH17" i="3"/>
  <c r="EH18" i="3"/>
  <c r="EH19" i="3"/>
  <c r="EH20" i="3"/>
  <c r="EH21" i="3"/>
  <c r="EH25" i="3"/>
  <c r="EH26" i="3"/>
  <c r="EH27" i="3"/>
  <c r="EH29" i="3"/>
  <c r="EH30" i="3"/>
  <c r="EH31" i="3"/>
  <c r="EH32" i="3"/>
  <c r="EH33" i="3"/>
  <c r="EH35" i="3"/>
  <c r="EG21" i="3"/>
  <c r="EG35" i="3"/>
  <c r="EG33" i="3"/>
  <c r="EG32" i="3"/>
  <c r="EG31" i="3"/>
  <c r="EG30" i="3"/>
  <c r="EG29" i="3"/>
  <c r="EG27" i="3"/>
  <c r="EG26" i="3"/>
  <c r="EG25" i="3"/>
  <c r="EG20" i="3"/>
  <c r="EG19" i="3"/>
  <c r="EG18" i="3"/>
  <c r="EG17" i="3"/>
  <c r="EG16" i="3"/>
  <c r="EG15" i="3"/>
  <c r="EG11" i="3"/>
  <c r="EG10" i="3" s="1"/>
  <c r="EG9" i="3" s="1"/>
  <c r="EF28" i="3"/>
  <c r="EF24" i="3"/>
  <c r="EF14" i="3"/>
  <c r="EF9" i="3"/>
  <c r="EA37" i="3"/>
  <c r="EB37" i="3"/>
  <c r="EC37" i="3"/>
  <c r="EB25" i="3"/>
  <c r="EC25" i="3"/>
  <c r="EA25" i="3"/>
  <c r="EB11" i="3"/>
  <c r="EB10" i="3" s="1"/>
  <c r="EB9" i="3" s="1"/>
  <c r="EC11" i="3"/>
  <c r="EC10" i="3" s="1"/>
  <c r="EC9" i="3" s="1"/>
  <c r="EB15" i="3"/>
  <c r="EC15" i="3"/>
  <c r="EB16" i="3"/>
  <c r="EC16" i="3"/>
  <c r="EB17" i="3"/>
  <c r="EC17" i="3"/>
  <c r="EB18" i="3"/>
  <c r="EC18" i="3"/>
  <c r="EB19" i="3"/>
  <c r="EC19" i="3"/>
  <c r="EB20" i="3"/>
  <c r="EC20" i="3"/>
  <c r="EB26" i="3"/>
  <c r="EC26" i="3"/>
  <c r="EB27" i="3"/>
  <c r="EC27" i="3"/>
  <c r="EB30" i="3"/>
  <c r="EC30" i="3"/>
  <c r="EB31" i="3"/>
  <c r="EC31" i="3"/>
  <c r="EB32" i="3"/>
  <c r="EC32" i="3"/>
  <c r="EB33" i="3"/>
  <c r="EC33" i="3"/>
  <c r="EB35" i="3"/>
  <c r="EC35" i="3"/>
  <c r="EA35" i="3"/>
  <c r="EA33" i="3"/>
  <c r="EA32" i="3"/>
  <c r="EA31" i="3"/>
  <c r="EA30" i="3"/>
  <c r="EA27" i="3"/>
  <c r="EA26" i="3"/>
  <c r="EA20" i="3"/>
  <c r="EA19" i="3"/>
  <c r="EA18" i="3"/>
  <c r="EA17" i="3"/>
  <c r="EA16" i="3"/>
  <c r="EA15" i="3"/>
  <c r="EA11" i="3"/>
  <c r="EA10" i="3" s="1"/>
  <c r="EA9" i="3" s="1"/>
  <c r="DZ29" i="3"/>
  <c r="DZ28" i="3" s="1"/>
  <c r="DZ24" i="3"/>
  <c r="DZ14" i="3"/>
  <c r="DZ9" i="3"/>
  <c r="DZ40" i="3" l="1"/>
  <c r="EH14" i="3"/>
  <c r="EH24" i="3"/>
  <c r="EB14" i="3"/>
  <c r="EC14" i="3"/>
  <c r="AA38" i="3"/>
  <c r="AA40" i="3" s="1"/>
  <c r="EA29" i="3"/>
  <c r="EA28" i="3" s="1"/>
  <c r="EC29" i="3"/>
  <c r="EC28" i="3" s="1"/>
  <c r="EB29" i="3"/>
  <c r="EB28" i="3" s="1"/>
  <c r="EH28" i="3"/>
  <c r="AI38" i="3"/>
  <c r="AI40" i="3" s="1"/>
  <c r="EG28" i="3"/>
  <c r="EG24" i="3"/>
  <c r="EG14" i="3"/>
  <c r="EB24" i="3"/>
  <c r="EC24" i="3"/>
  <c r="EA24" i="3"/>
  <c r="EA14" i="3"/>
  <c r="EH38" i="3" l="1"/>
  <c r="EH40" i="3" s="1"/>
  <c r="EB38" i="3"/>
  <c r="EC38" i="3"/>
  <c r="EA38" i="3"/>
  <c r="EG38" i="3"/>
  <c r="DD37" i="3" l="1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CU37" i="3"/>
  <c r="CV37" i="3"/>
  <c r="CW37" i="3"/>
  <c r="CX37" i="3"/>
  <c r="CY37" i="3"/>
  <c r="CZ37" i="3"/>
  <c r="CM37" i="3"/>
  <c r="CN37" i="3"/>
  <c r="CO37" i="3"/>
  <c r="CP37" i="3"/>
  <c r="CQ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B37" i="3"/>
  <c r="AC37" i="3"/>
  <c r="AD37" i="3"/>
  <c r="AE37" i="3"/>
  <c r="AF37" i="3"/>
  <c r="AG37" i="3"/>
  <c r="AH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B36" i="3"/>
  <c r="AC36" i="3"/>
  <c r="AD36" i="3"/>
  <c r="AE36" i="3"/>
  <c r="AF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DW36" i="3" l="1"/>
  <c r="DV36" i="3"/>
  <c r="DU36" i="3"/>
  <c r="DP36" i="3"/>
  <c r="DN36" i="3"/>
  <c r="DM36" i="3"/>
  <c r="DL36" i="3"/>
  <c r="DK36" i="3"/>
  <c r="DJ36" i="3"/>
  <c r="DE11" i="3"/>
  <c r="DE10" i="3" s="1"/>
  <c r="DE9" i="3" s="1"/>
  <c r="DF11" i="3"/>
  <c r="DF10" i="3" s="1"/>
  <c r="DF9" i="3" s="1"/>
  <c r="DG11" i="3"/>
  <c r="DG10" i="3" s="1"/>
  <c r="DG9" i="3" s="1"/>
  <c r="DH11" i="3"/>
  <c r="DH10" i="3" s="1"/>
  <c r="DH9" i="3" s="1"/>
  <c r="DI11" i="3"/>
  <c r="DI10" i="3" s="1"/>
  <c r="DI9" i="3" s="1"/>
  <c r="DJ11" i="3"/>
  <c r="DJ10" i="3" s="1"/>
  <c r="DJ9" i="3" s="1"/>
  <c r="DK11" i="3"/>
  <c r="DK10" i="3" s="1"/>
  <c r="DK9" i="3" s="1"/>
  <c r="DL11" i="3"/>
  <c r="DL10" i="3" s="1"/>
  <c r="DL9" i="3" s="1"/>
  <c r="DM11" i="3"/>
  <c r="DM10" i="3" s="1"/>
  <c r="DM9" i="3" s="1"/>
  <c r="DN11" i="3"/>
  <c r="DN10" i="3" s="1"/>
  <c r="DN9" i="3" s="1"/>
  <c r="DO11" i="3"/>
  <c r="DO10" i="3" s="1"/>
  <c r="DO9" i="3" s="1"/>
  <c r="DP11" i="3"/>
  <c r="DP10" i="3" s="1"/>
  <c r="DP9" i="3" s="1"/>
  <c r="DQ11" i="3"/>
  <c r="DQ10" i="3" s="1"/>
  <c r="DQ9" i="3" s="1"/>
  <c r="DR11" i="3"/>
  <c r="DR10" i="3" s="1"/>
  <c r="DR9" i="3" s="1"/>
  <c r="DS11" i="3"/>
  <c r="DS10" i="3" s="1"/>
  <c r="DS9" i="3" s="1"/>
  <c r="DT11" i="3"/>
  <c r="DT10" i="3" s="1"/>
  <c r="DT9" i="3" s="1"/>
  <c r="DU11" i="3"/>
  <c r="DU10" i="3" s="1"/>
  <c r="DU9" i="3" s="1"/>
  <c r="DV11" i="3"/>
  <c r="DV10" i="3" s="1"/>
  <c r="DV9" i="3" s="1"/>
  <c r="DW11" i="3"/>
  <c r="DW10" i="3" s="1"/>
  <c r="DW9" i="3" s="1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DR16" i="3"/>
  <c r="DS16" i="3"/>
  <c r="DT16" i="3"/>
  <c r="DU16" i="3"/>
  <c r="DV16" i="3"/>
  <c r="DW16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DQ17" i="3"/>
  <c r="DR17" i="3"/>
  <c r="DS17" i="3"/>
  <c r="DT17" i="3"/>
  <c r="DU17" i="3"/>
  <c r="DV17" i="3"/>
  <c r="DW17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S31" i="3"/>
  <c r="DT31" i="3"/>
  <c r="DU31" i="3"/>
  <c r="DV31" i="3"/>
  <c r="DW31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D35" i="3"/>
  <c r="DD33" i="3"/>
  <c r="DD32" i="3"/>
  <c r="DD31" i="3"/>
  <c r="DD30" i="3"/>
  <c r="DD29" i="3"/>
  <c r="DD27" i="3"/>
  <c r="DD26" i="3"/>
  <c r="DD25" i="3"/>
  <c r="DD20" i="3"/>
  <c r="DD19" i="3"/>
  <c r="DD18" i="3"/>
  <c r="DD17" i="3"/>
  <c r="DD16" i="3"/>
  <c r="DD15" i="3"/>
  <c r="DD11" i="3"/>
  <c r="DD10" i="3" s="1"/>
  <c r="DD9" i="3" s="1"/>
  <c r="DC28" i="3"/>
  <c r="DC24" i="3"/>
  <c r="DC14" i="3"/>
  <c r="DC9" i="3"/>
  <c r="CV11" i="3"/>
  <c r="CV10" i="3" s="1"/>
  <c r="CV9" i="3" s="1"/>
  <c r="CW11" i="3"/>
  <c r="CW10" i="3" s="1"/>
  <c r="CW9" i="3" s="1"/>
  <c r="CX11" i="3"/>
  <c r="CX10" i="3" s="1"/>
  <c r="CX9" i="3" s="1"/>
  <c r="CY11" i="3"/>
  <c r="CY10" i="3" s="1"/>
  <c r="CY9" i="3" s="1"/>
  <c r="CZ11" i="3"/>
  <c r="CZ10" i="3" s="1"/>
  <c r="CZ9" i="3" s="1"/>
  <c r="CV15" i="3"/>
  <c r="CW15" i="3"/>
  <c r="CX15" i="3"/>
  <c r="CY15" i="3"/>
  <c r="CZ15" i="3"/>
  <c r="CV16" i="3"/>
  <c r="CW16" i="3"/>
  <c r="CX16" i="3"/>
  <c r="CY16" i="3"/>
  <c r="CZ16" i="3"/>
  <c r="CV17" i="3"/>
  <c r="CW17" i="3"/>
  <c r="CX17" i="3"/>
  <c r="CY17" i="3"/>
  <c r="CZ17" i="3"/>
  <c r="CV18" i="3"/>
  <c r="CW18" i="3"/>
  <c r="CX18" i="3"/>
  <c r="CY18" i="3"/>
  <c r="CZ18" i="3"/>
  <c r="CV19" i="3"/>
  <c r="CW19" i="3"/>
  <c r="CX19" i="3"/>
  <c r="CY19" i="3"/>
  <c r="CZ19" i="3"/>
  <c r="CV20" i="3"/>
  <c r="CW20" i="3"/>
  <c r="CX20" i="3"/>
  <c r="CY20" i="3"/>
  <c r="CZ20" i="3"/>
  <c r="CV21" i="3"/>
  <c r="CW21" i="3"/>
  <c r="CX21" i="3"/>
  <c r="CY21" i="3"/>
  <c r="CZ21" i="3"/>
  <c r="CV25" i="3"/>
  <c r="CW25" i="3"/>
  <c r="CX25" i="3"/>
  <c r="CY25" i="3"/>
  <c r="CZ25" i="3"/>
  <c r="CV26" i="3"/>
  <c r="CW26" i="3"/>
  <c r="CX26" i="3"/>
  <c r="CY26" i="3"/>
  <c r="CZ26" i="3"/>
  <c r="CV27" i="3"/>
  <c r="CW27" i="3"/>
  <c r="CX27" i="3"/>
  <c r="CY27" i="3"/>
  <c r="CZ27" i="3"/>
  <c r="CV29" i="3"/>
  <c r="CW29" i="3"/>
  <c r="CX29" i="3"/>
  <c r="CY29" i="3"/>
  <c r="CZ29" i="3"/>
  <c r="CV30" i="3"/>
  <c r="CW30" i="3"/>
  <c r="CX30" i="3"/>
  <c r="CY30" i="3"/>
  <c r="CZ30" i="3"/>
  <c r="CV31" i="3"/>
  <c r="CW31" i="3"/>
  <c r="CX31" i="3"/>
  <c r="CY31" i="3"/>
  <c r="CZ31" i="3"/>
  <c r="CV32" i="3"/>
  <c r="CW32" i="3"/>
  <c r="CX32" i="3"/>
  <c r="CY32" i="3"/>
  <c r="CZ32" i="3"/>
  <c r="CV33" i="3"/>
  <c r="CW33" i="3"/>
  <c r="CX33" i="3"/>
  <c r="CY33" i="3"/>
  <c r="CZ33" i="3"/>
  <c r="CV35" i="3"/>
  <c r="CW35" i="3"/>
  <c r="CX35" i="3"/>
  <c r="CY35" i="3"/>
  <c r="CZ35" i="3"/>
  <c r="CU21" i="3"/>
  <c r="CU17" i="3"/>
  <c r="CU35" i="3"/>
  <c r="CU33" i="3"/>
  <c r="CU32" i="3"/>
  <c r="CU31" i="3"/>
  <c r="CU30" i="3"/>
  <c r="CU29" i="3"/>
  <c r="CU27" i="3"/>
  <c r="CU26" i="3"/>
  <c r="CU25" i="3"/>
  <c r="CU20" i="3"/>
  <c r="CU19" i="3"/>
  <c r="CU18" i="3"/>
  <c r="CU16" i="3"/>
  <c r="CU15" i="3"/>
  <c r="CM36" i="3"/>
  <c r="CU36" i="3"/>
  <c r="CV36" i="3" s="1"/>
  <c r="CW36" i="3" s="1"/>
  <c r="CX36" i="3" s="1"/>
  <c r="CY36" i="3" s="1"/>
  <c r="CZ36" i="3" s="1"/>
  <c r="CU11" i="3"/>
  <c r="CU10" i="3" s="1"/>
  <c r="CU9" i="3" s="1"/>
  <c r="CT28" i="3"/>
  <c r="CT24" i="3"/>
  <c r="CT14" i="3"/>
  <c r="CT9" i="3"/>
  <c r="CZ24" i="3" l="1"/>
  <c r="CZ14" i="3"/>
  <c r="CV14" i="3"/>
  <c r="DV24" i="3"/>
  <c r="DR24" i="3"/>
  <c r="DN24" i="3"/>
  <c r="DJ24" i="3"/>
  <c r="DF24" i="3"/>
  <c r="DU24" i="3"/>
  <c r="DQ24" i="3"/>
  <c r="DM24" i="3"/>
  <c r="DI24" i="3"/>
  <c r="DE24" i="3"/>
  <c r="CZ28" i="3"/>
  <c r="CV28" i="3"/>
  <c r="CV24" i="3"/>
  <c r="CV38" i="3" s="1"/>
  <c r="CX24" i="3"/>
  <c r="CY28" i="3"/>
  <c r="DU28" i="3"/>
  <c r="DM28" i="3"/>
  <c r="DE28" i="3"/>
  <c r="DU14" i="3"/>
  <c r="DM14" i="3"/>
  <c r="DI14" i="3"/>
  <c r="CX28" i="3"/>
  <c r="CX14" i="3"/>
  <c r="DT28" i="3"/>
  <c r="DL28" i="3"/>
  <c r="DS14" i="3"/>
  <c r="DK14" i="3"/>
  <c r="DP14" i="3"/>
  <c r="DH14" i="3"/>
  <c r="CW28" i="3"/>
  <c r="CW14" i="3"/>
  <c r="DV28" i="3"/>
  <c r="DR28" i="3"/>
  <c r="DN28" i="3"/>
  <c r="DJ28" i="3"/>
  <c r="DF28" i="3"/>
  <c r="DW28" i="3"/>
  <c r="DS28" i="3"/>
  <c r="DO28" i="3"/>
  <c r="DK28" i="3"/>
  <c r="DG28" i="3"/>
  <c r="DT24" i="3"/>
  <c r="DP24" i="3"/>
  <c r="DL24" i="3"/>
  <c r="DH24" i="3"/>
  <c r="CY14" i="3"/>
  <c r="DQ28" i="3"/>
  <c r="DI28" i="3"/>
  <c r="DQ14" i="3"/>
  <c r="DE14" i="3"/>
  <c r="CW24" i="3"/>
  <c r="DP28" i="3"/>
  <c r="DH28" i="3"/>
  <c r="DH38" i="3" s="1"/>
  <c r="DW14" i="3"/>
  <c r="DO14" i="3"/>
  <c r="DG14" i="3"/>
  <c r="DT14" i="3"/>
  <c r="DL14" i="3"/>
  <c r="CY24" i="3"/>
  <c r="DW24" i="3"/>
  <c r="DS24" i="3"/>
  <c r="DO24" i="3"/>
  <c r="DK24" i="3"/>
  <c r="DG24" i="3"/>
  <c r="DV14" i="3"/>
  <c r="DR14" i="3"/>
  <c r="DN14" i="3"/>
  <c r="DJ14" i="3"/>
  <c r="DF14" i="3"/>
  <c r="EA40" i="3"/>
  <c r="DD28" i="3"/>
  <c r="DD24" i="3"/>
  <c r="DD14" i="3"/>
  <c r="CU28" i="3"/>
  <c r="CU24" i="3"/>
  <c r="CN11" i="3"/>
  <c r="CN10" i="3" s="1"/>
  <c r="CO11" i="3"/>
  <c r="CO10" i="3" s="1"/>
  <c r="CP11" i="3"/>
  <c r="CP10" i="3" s="1"/>
  <c r="CQ11" i="3"/>
  <c r="CQ10" i="3" s="1"/>
  <c r="CN15" i="3"/>
  <c r="CO15" i="3"/>
  <c r="CP15" i="3"/>
  <c r="CQ15" i="3"/>
  <c r="CN16" i="3"/>
  <c r="CO16" i="3"/>
  <c r="CP16" i="3"/>
  <c r="CQ16" i="3"/>
  <c r="CN17" i="3"/>
  <c r="CO17" i="3"/>
  <c r="CP17" i="3"/>
  <c r="CQ17" i="3"/>
  <c r="CN18" i="3"/>
  <c r="CO18" i="3"/>
  <c r="CP18" i="3"/>
  <c r="CQ18" i="3"/>
  <c r="CN19" i="3"/>
  <c r="CO19" i="3"/>
  <c r="CP19" i="3"/>
  <c r="CQ19" i="3"/>
  <c r="CN20" i="3"/>
  <c r="CO20" i="3"/>
  <c r="CP20" i="3"/>
  <c r="CQ20" i="3"/>
  <c r="CN25" i="3"/>
  <c r="CO25" i="3"/>
  <c r="CP25" i="3"/>
  <c r="CQ25" i="3"/>
  <c r="CN26" i="3"/>
  <c r="CO26" i="3"/>
  <c r="CP26" i="3"/>
  <c r="CQ26" i="3"/>
  <c r="CN27" i="3"/>
  <c r="CO27" i="3"/>
  <c r="CP27" i="3"/>
  <c r="CQ27" i="3"/>
  <c r="CN30" i="3"/>
  <c r="CO30" i="3"/>
  <c r="CP30" i="3"/>
  <c r="CQ30" i="3"/>
  <c r="CN31" i="3"/>
  <c r="CO31" i="3"/>
  <c r="CP31" i="3"/>
  <c r="CQ31" i="3"/>
  <c r="CN32" i="3"/>
  <c r="CO32" i="3"/>
  <c r="CP32" i="3"/>
  <c r="CQ32" i="3"/>
  <c r="CN33" i="3"/>
  <c r="CO33" i="3"/>
  <c r="CP33" i="3"/>
  <c r="CQ33" i="3"/>
  <c r="CN35" i="3"/>
  <c r="CO35" i="3"/>
  <c r="CP35" i="3"/>
  <c r="CQ35" i="3"/>
  <c r="CM35" i="3"/>
  <c r="CM33" i="3"/>
  <c r="CM32" i="3"/>
  <c r="CM31" i="3"/>
  <c r="CM30" i="3"/>
  <c r="CM27" i="3"/>
  <c r="CM26" i="3"/>
  <c r="CM25" i="3"/>
  <c r="CM20" i="3"/>
  <c r="CM19" i="3"/>
  <c r="CM18" i="3"/>
  <c r="CM17" i="3"/>
  <c r="CM16" i="3"/>
  <c r="CM15" i="3"/>
  <c r="CL29" i="3"/>
  <c r="CL28" i="3" s="1"/>
  <c r="CL24" i="3"/>
  <c r="CL14" i="3"/>
  <c r="CL9" i="3"/>
  <c r="DR38" i="3" l="1"/>
  <c r="CM14" i="3"/>
  <c r="CY38" i="3"/>
  <c r="CZ38" i="3"/>
  <c r="DG38" i="3"/>
  <c r="DF38" i="3"/>
  <c r="DV38" i="3"/>
  <c r="DM38" i="3"/>
  <c r="DQ38" i="3"/>
  <c r="DS38" i="3"/>
  <c r="DN38" i="3"/>
  <c r="DE38" i="3"/>
  <c r="CO29" i="3"/>
  <c r="CO28" i="3" s="1"/>
  <c r="DD38" i="3"/>
  <c r="DK38" i="3"/>
  <c r="DI38" i="3"/>
  <c r="DW38" i="3"/>
  <c r="CW38" i="3"/>
  <c r="CX38" i="3"/>
  <c r="DU38" i="3"/>
  <c r="DL38" i="3"/>
  <c r="CM29" i="3"/>
  <c r="CM28" i="3" s="1"/>
  <c r="DP38" i="3"/>
  <c r="DO38" i="3"/>
  <c r="DJ38" i="3"/>
  <c r="DT38" i="3"/>
  <c r="CO14" i="3"/>
  <c r="CN24" i="3"/>
  <c r="CN14" i="3"/>
  <c r="CM24" i="3"/>
  <c r="CQ29" i="3"/>
  <c r="CQ28" i="3" s="1"/>
  <c r="CQ24" i="3"/>
  <c r="CQ14" i="3"/>
  <c r="DD40" i="3"/>
  <c r="CO24" i="3"/>
  <c r="CN29" i="3"/>
  <c r="CN28" i="3" s="1"/>
  <c r="CP29" i="3"/>
  <c r="CP28" i="3" s="1"/>
  <c r="CP24" i="3"/>
  <c r="CP14" i="3"/>
  <c r="CN9" i="3"/>
  <c r="CP9" i="3"/>
  <c r="CQ9" i="3"/>
  <c r="CO9" i="3"/>
  <c r="CO38" i="3" l="1"/>
  <c r="CN38" i="3"/>
  <c r="CP38" i="3"/>
  <c r="CQ38" i="3"/>
  <c r="CM11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B10" i="3"/>
  <c r="AC10" i="3"/>
  <c r="AD10" i="3"/>
  <c r="AE10" i="3"/>
  <c r="AF10" i="3"/>
  <c r="AG10" i="3"/>
  <c r="AH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D35" i="3" l="1"/>
  <c r="E10" i="3" l="1"/>
  <c r="F10" i="3"/>
  <c r="E11" i="3"/>
  <c r="F11" i="3"/>
  <c r="G11" i="3"/>
  <c r="G9" i="3" s="1"/>
  <c r="H11" i="3"/>
  <c r="H9" i="3" s="1"/>
  <c r="I11" i="3"/>
  <c r="I9" i="3" s="1"/>
  <c r="J11" i="3"/>
  <c r="K11" i="3"/>
  <c r="K9" i="3" s="1"/>
  <c r="L11" i="3"/>
  <c r="L9" i="3" s="1"/>
  <c r="M11" i="3"/>
  <c r="M9" i="3" s="1"/>
  <c r="N11" i="3"/>
  <c r="O11" i="3"/>
  <c r="O9" i="3" s="1"/>
  <c r="P11" i="3"/>
  <c r="P9" i="3" s="1"/>
  <c r="Q11" i="3"/>
  <c r="Q9" i="3" s="1"/>
  <c r="R11" i="3"/>
  <c r="S11" i="3"/>
  <c r="S9" i="3" s="1"/>
  <c r="T11" i="3"/>
  <c r="T9" i="3" s="1"/>
  <c r="U11" i="3"/>
  <c r="U9" i="3" s="1"/>
  <c r="V11" i="3"/>
  <c r="W11" i="3"/>
  <c r="W9" i="3" s="1"/>
  <c r="X11" i="3"/>
  <c r="X9" i="3" s="1"/>
  <c r="Y11" i="3"/>
  <c r="Y9" i="3" s="1"/>
  <c r="Z11" i="3"/>
  <c r="AB11" i="3"/>
  <c r="AB9" i="3" s="1"/>
  <c r="AC11" i="3"/>
  <c r="AC9" i="3" s="1"/>
  <c r="AD11" i="3"/>
  <c r="AD9" i="3" s="1"/>
  <c r="AE11" i="3"/>
  <c r="AF11" i="3"/>
  <c r="AF9" i="3" s="1"/>
  <c r="AG11" i="3"/>
  <c r="AG9" i="3" s="1"/>
  <c r="AH11" i="3"/>
  <c r="AH9" i="3" s="1"/>
  <c r="AJ11" i="3"/>
  <c r="AK11" i="3"/>
  <c r="AK9" i="3" s="1"/>
  <c r="AL11" i="3"/>
  <c r="AL9" i="3" s="1"/>
  <c r="AM11" i="3"/>
  <c r="AM9" i="3" s="1"/>
  <c r="AN11" i="3"/>
  <c r="AO11" i="3"/>
  <c r="AO9" i="3" s="1"/>
  <c r="AP11" i="3"/>
  <c r="AP9" i="3" s="1"/>
  <c r="AQ11" i="3"/>
  <c r="AQ9" i="3" s="1"/>
  <c r="AR11" i="3"/>
  <c r="AS11" i="3"/>
  <c r="AS9" i="3" s="1"/>
  <c r="AT11" i="3"/>
  <c r="AT9" i="3" s="1"/>
  <c r="AU11" i="3"/>
  <c r="AU9" i="3" s="1"/>
  <c r="AV11" i="3"/>
  <c r="AW11" i="3"/>
  <c r="AW9" i="3" s="1"/>
  <c r="AX11" i="3"/>
  <c r="AX9" i="3" s="1"/>
  <c r="AY11" i="3"/>
  <c r="AY9" i="3" s="1"/>
  <c r="AZ11" i="3"/>
  <c r="BA11" i="3"/>
  <c r="BA9" i="3" s="1"/>
  <c r="BB11" i="3"/>
  <c r="BB9" i="3" s="1"/>
  <c r="BC11" i="3"/>
  <c r="BC9" i="3" s="1"/>
  <c r="BD11" i="3"/>
  <c r="BE11" i="3"/>
  <c r="BE9" i="3" s="1"/>
  <c r="BF11" i="3"/>
  <c r="BF9" i="3" s="1"/>
  <c r="BG11" i="3"/>
  <c r="BG9" i="3" s="1"/>
  <c r="BH11" i="3"/>
  <c r="BI11" i="3"/>
  <c r="BI9" i="3" s="1"/>
  <c r="BJ11" i="3"/>
  <c r="BJ9" i="3" s="1"/>
  <c r="BK11" i="3"/>
  <c r="BK9" i="3" s="1"/>
  <c r="BL11" i="3"/>
  <c r="BM11" i="3"/>
  <c r="BM9" i="3" s="1"/>
  <c r="BN11" i="3"/>
  <c r="BN9" i="3" s="1"/>
  <c r="BO11" i="3"/>
  <c r="BO9" i="3" s="1"/>
  <c r="BP11" i="3"/>
  <c r="BQ11" i="3"/>
  <c r="BQ9" i="3" s="1"/>
  <c r="BR11" i="3"/>
  <c r="BR9" i="3" s="1"/>
  <c r="BS11" i="3"/>
  <c r="BS9" i="3" s="1"/>
  <c r="BT11" i="3"/>
  <c r="BU11" i="3"/>
  <c r="BU9" i="3" s="1"/>
  <c r="BV11" i="3"/>
  <c r="BV9" i="3" s="1"/>
  <c r="BW11" i="3"/>
  <c r="BW9" i="3" s="1"/>
  <c r="BX11" i="3"/>
  <c r="BY11" i="3"/>
  <c r="BY9" i="3" s="1"/>
  <c r="BZ11" i="3"/>
  <c r="BZ9" i="3" s="1"/>
  <c r="CA11" i="3"/>
  <c r="CA9" i="3" s="1"/>
  <c r="CB11" i="3"/>
  <c r="CC11" i="3"/>
  <c r="CC9" i="3" s="1"/>
  <c r="CD11" i="3"/>
  <c r="CD9" i="3" s="1"/>
  <c r="CE11" i="3"/>
  <c r="CE9" i="3" s="1"/>
  <c r="CF11" i="3"/>
  <c r="CG11" i="3"/>
  <c r="CG9" i="3" s="1"/>
  <c r="CH11" i="3"/>
  <c r="CH9" i="3" s="1"/>
  <c r="CI11" i="3"/>
  <c r="CI9" i="3" s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B15" i="3"/>
  <c r="AC15" i="3"/>
  <c r="AD15" i="3"/>
  <c r="AE15" i="3"/>
  <c r="AF15" i="3"/>
  <c r="AG15" i="3"/>
  <c r="AH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B16" i="3"/>
  <c r="AC16" i="3"/>
  <c r="AD16" i="3"/>
  <c r="AE16" i="3"/>
  <c r="AF16" i="3"/>
  <c r="AG16" i="3"/>
  <c r="AH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B17" i="3"/>
  <c r="AC17" i="3"/>
  <c r="AD17" i="3"/>
  <c r="AE17" i="3"/>
  <c r="AF17" i="3"/>
  <c r="AG17" i="3"/>
  <c r="AH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B18" i="3"/>
  <c r="AC18" i="3"/>
  <c r="AD18" i="3"/>
  <c r="AE18" i="3"/>
  <c r="AF18" i="3"/>
  <c r="AG18" i="3"/>
  <c r="AH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B19" i="3"/>
  <c r="AC19" i="3"/>
  <c r="AD19" i="3"/>
  <c r="AE19" i="3"/>
  <c r="AF19" i="3"/>
  <c r="AG19" i="3"/>
  <c r="AH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B20" i="3"/>
  <c r="AC20" i="3"/>
  <c r="AD20" i="3"/>
  <c r="AE20" i="3"/>
  <c r="AF20" i="3"/>
  <c r="AG20" i="3"/>
  <c r="AH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B25" i="3"/>
  <c r="AC25" i="3"/>
  <c r="AD25" i="3"/>
  <c r="AE25" i="3"/>
  <c r="AF25" i="3"/>
  <c r="AG25" i="3"/>
  <c r="AH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B26" i="3"/>
  <c r="AC26" i="3"/>
  <c r="AD26" i="3"/>
  <c r="AE26" i="3"/>
  <c r="AF26" i="3"/>
  <c r="AG26" i="3"/>
  <c r="AH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B27" i="3"/>
  <c r="AC27" i="3"/>
  <c r="AD27" i="3"/>
  <c r="AE27" i="3"/>
  <c r="AF27" i="3"/>
  <c r="AG27" i="3"/>
  <c r="AH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B29" i="3"/>
  <c r="AC29" i="3"/>
  <c r="AD29" i="3"/>
  <c r="AE29" i="3"/>
  <c r="AF29" i="3"/>
  <c r="AG29" i="3"/>
  <c r="AH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B30" i="3"/>
  <c r="AC30" i="3"/>
  <c r="AD30" i="3"/>
  <c r="AE30" i="3"/>
  <c r="AF30" i="3"/>
  <c r="AG30" i="3"/>
  <c r="AH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B31" i="3"/>
  <c r="AC31" i="3"/>
  <c r="AD31" i="3"/>
  <c r="AE31" i="3"/>
  <c r="AF31" i="3"/>
  <c r="AG31" i="3"/>
  <c r="AH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B32" i="3"/>
  <c r="AC32" i="3"/>
  <c r="AD32" i="3"/>
  <c r="AE32" i="3"/>
  <c r="AF32" i="3"/>
  <c r="AG32" i="3"/>
  <c r="AH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B33" i="3"/>
  <c r="AC33" i="3"/>
  <c r="AD33" i="3"/>
  <c r="AE33" i="3"/>
  <c r="AF33" i="3"/>
  <c r="AG33" i="3"/>
  <c r="AH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B35" i="3"/>
  <c r="AC35" i="3"/>
  <c r="AD35" i="3"/>
  <c r="AE35" i="3"/>
  <c r="AF35" i="3"/>
  <c r="AG35" i="3"/>
  <c r="AH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CB24" i="3"/>
  <c r="BL24" i="3"/>
  <c r="AZ24" i="3"/>
  <c r="AV24" i="3"/>
  <c r="AJ24" i="3"/>
  <c r="AE24" i="3"/>
  <c r="V24" i="3"/>
  <c r="R24" i="3"/>
  <c r="N24" i="3"/>
  <c r="F24" i="3"/>
  <c r="D28" i="3"/>
  <c r="BP28" i="3"/>
  <c r="AJ28" i="3"/>
  <c r="Y14" i="3"/>
  <c r="CF24" i="3"/>
  <c r="BX24" i="3"/>
  <c r="BT24" i="3"/>
  <c r="BP24" i="3"/>
  <c r="BH24" i="3"/>
  <c r="BD24" i="3"/>
  <c r="AR24" i="3"/>
  <c r="AN24" i="3"/>
  <c r="Z24" i="3"/>
  <c r="J24" i="3"/>
  <c r="CF28" i="3"/>
  <c r="CB28" i="3"/>
  <c r="BX28" i="3"/>
  <c r="BT28" i="3"/>
  <c r="BL28" i="3"/>
  <c r="BH28" i="3"/>
  <c r="BD28" i="3"/>
  <c r="AZ28" i="3"/>
  <c r="AV28" i="3"/>
  <c r="AR28" i="3"/>
  <c r="AN28" i="3"/>
  <c r="AE28" i="3"/>
  <c r="Z28" i="3"/>
  <c r="V28" i="3"/>
  <c r="R28" i="3"/>
  <c r="N28" i="3"/>
  <c r="J28" i="3"/>
  <c r="F28" i="3"/>
  <c r="CI14" i="3"/>
  <c r="CE14" i="3"/>
  <c r="CA14" i="3"/>
  <c r="BW14" i="3"/>
  <c r="BS14" i="3"/>
  <c r="BO14" i="3"/>
  <c r="BK14" i="3"/>
  <c r="BG14" i="3"/>
  <c r="BC14" i="3"/>
  <c r="AY14" i="3"/>
  <c r="AU14" i="3"/>
  <c r="AM14" i="3"/>
  <c r="AH14" i="3"/>
  <c r="AD14" i="3"/>
  <c r="U14" i="3"/>
  <c r="Q14" i="3"/>
  <c r="M14" i="3"/>
  <c r="I14" i="3"/>
  <c r="E14" i="3"/>
  <c r="CI24" i="3"/>
  <c r="CE24" i="3"/>
  <c r="CA24" i="3"/>
  <c r="BW24" i="3"/>
  <c r="BS24" i="3"/>
  <c r="BO24" i="3"/>
  <c r="BK24" i="3"/>
  <c r="BG24" i="3"/>
  <c r="BC24" i="3"/>
  <c r="AY24" i="3"/>
  <c r="AU24" i="3"/>
  <c r="AM24" i="3"/>
  <c r="AH24" i="3"/>
  <c r="AD24" i="3"/>
  <c r="Y24" i="3"/>
  <c r="U24" i="3"/>
  <c r="Q24" i="3"/>
  <c r="M24" i="3"/>
  <c r="I24" i="3"/>
  <c r="E24" i="3"/>
  <c r="E9" i="3"/>
  <c r="AQ14" i="3"/>
  <c r="AQ24" i="3"/>
  <c r="CI28" i="3"/>
  <c r="BS28" i="3"/>
  <c r="CA28" i="3"/>
  <c r="CA38" i="3" s="1"/>
  <c r="BW28" i="3"/>
  <c r="CG28" i="3"/>
  <c r="CC28" i="3"/>
  <c r="BY28" i="3"/>
  <c r="BU28" i="3"/>
  <c r="BQ28" i="3"/>
  <c r="BM28" i="3"/>
  <c r="BI28" i="3"/>
  <c r="BE28" i="3"/>
  <c r="BA28" i="3"/>
  <c r="AW28" i="3"/>
  <c r="AS28" i="3"/>
  <c r="AO28" i="3"/>
  <c r="AK28" i="3"/>
  <c r="AF28" i="3"/>
  <c r="AB28" i="3"/>
  <c r="W28" i="3"/>
  <c r="S28" i="3"/>
  <c r="O28" i="3"/>
  <c r="K28" i="3"/>
  <c r="G28" i="3"/>
  <c r="CH28" i="3"/>
  <c r="CD28" i="3"/>
  <c r="BZ28" i="3"/>
  <c r="BV28" i="3"/>
  <c r="BR28" i="3"/>
  <c r="BN28" i="3"/>
  <c r="BJ28" i="3"/>
  <c r="BF28" i="3"/>
  <c r="BB28" i="3"/>
  <c r="AX28" i="3"/>
  <c r="AT28" i="3"/>
  <c r="AP28" i="3"/>
  <c r="AL28" i="3"/>
  <c r="AG28" i="3"/>
  <c r="AC28" i="3"/>
  <c r="X28" i="3"/>
  <c r="T28" i="3"/>
  <c r="P28" i="3"/>
  <c r="L28" i="3"/>
  <c r="H28" i="3"/>
  <c r="CE28" i="3"/>
  <c r="BO28" i="3"/>
  <c r="CH14" i="3"/>
  <c r="CD14" i="3"/>
  <c r="BZ14" i="3"/>
  <c r="BV14" i="3"/>
  <c r="BR14" i="3"/>
  <c r="BN14" i="3"/>
  <c r="BJ14" i="3"/>
  <c r="BF14" i="3"/>
  <c r="BB14" i="3"/>
  <c r="AX14" i="3"/>
  <c r="AT14" i="3"/>
  <c r="AP14" i="3"/>
  <c r="AL14" i="3"/>
  <c r="AG14" i="3"/>
  <c r="AC14" i="3"/>
  <c r="X14" i="3"/>
  <c r="T14" i="3"/>
  <c r="P14" i="3"/>
  <c r="L14" i="3"/>
  <c r="H14" i="3"/>
  <c r="CG14" i="3"/>
  <c r="CC14" i="3"/>
  <c r="BY14" i="3"/>
  <c r="BU14" i="3"/>
  <c r="BQ14" i="3"/>
  <c r="BM14" i="3"/>
  <c r="BI14" i="3"/>
  <c r="BE14" i="3"/>
  <c r="BA14" i="3"/>
  <c r="AW14" i="3"/>
  <c r="AS14" i="3"/>
  <c r="AO14" i="3"/>
  <c r="AK14" i="3"/>
  <c r="AF14" i="3"/>
  <c r="AB14" i="3"/>
  <c r="W14" i="3"/>
  <c r="S14" i="3"/>
  <c r="O14" i="3"/>
  <c r="K14" i="3"/>
  <c r="G14" i="3"/>
  <c r="CF9" i="3"/>
  <c r="CB9" i="3"/>
  <c r="BX9" i="3"/>
  <c r="BT9" i="3"/>
  <c r="BP9" i="3"/>
  <c r="BL9" i="3"/>
  <c r="BH9" i="3"/>
  <c r="BD9" i="3"/>
  <c r="AZ9" i="3"/>
  <c r="AV9" i="3"/>
  <c r="AR9" i="3"/>
  <c r="AN9" i="3"/>
  <c r="AJ9" i="3"/>
  <c r="AE9" i="3"/>
  <c r="Z9" i="3"/>
  <c r="V9" i="3"/>
  <c r="R9" i="3"/>
  <c r="N9" i="3"/>
  <c r="J9" i="3"/>
  <c r="F9" i="3"/>
  <c r="BK28" i="3"/>
  <c r="BK38" i="3" s="1"/>
  <c r="BG28" i="3"/>
  <c r="BC28" i="3"/>
  <c r="AY28" i="3"/>
  <c r="AU28" i="3"/>
  <c r="AU38" i="3" s="1"/>
  <c r="AQ28" i="3"/>
  <c r="AM28" i="3"/>
  <c r="AH28" i="3"/>
  <c r="AD28" i="3"/>
  <c r="AD38" i="3" s="1"/>
  <c r="Y28" i="3"/>
  <c r="U28" i="3"/>
  <c r="Q28" i="3"/>
  <c r="Q38" i="3" s="1"/>
  <c r="M28" i="3"/>
  <c r="M38" i="3" s="1"/>
  <c r="I28" i="3"/>
  <c r="E28" i="3"/>
  <c r="CG24" i="3"/>
  <c r="CC24" i="3"/>
  <c r="BY24" i="3"/>
  <c r="BU24" i="3"/>
  <c r="BQ24" i="3"/>
  <c r="BM24" i="3"/>
  <c r="BI24" i="3"/>
  <c r="BE24" i="3"/>
  <c r="BA24" i="3"/>
  <c r="AW24" i="3"/>
  <c r="AS24" i="3"/>
  <c r="AO24" i="3"/>
  <c r="AK24" i="3"/>
  <c r="AF24" i="3"/>
  <c r="AB24" i="3"/>
  <c r="W24" i="3"/>
  <c r="S24" i="3"/>
  <c r="O24" i="3"/>
  <c r="K24" i="3"/>
  <c r="G24" i="3"/>
  <c r="CH24" i="3"/>
  <c r="CD24" i="3"/>
  <c r="BZ24" i="3"/>
  <c r="BV24" i="3"/>
  <c r="BR24" i="3"/>
  <c r="BN24" i="3"/>
  <c r="BJ24" i="3"/>
  <c r="BF24" i="3"/>
  <c r="BB24" i="3"/>
  <c r="AX24" i="3"/>
  <c r="AT24" i="3"/>
  <c r="AP24" i="3"/>
  <c r="AL24" i="3"/>
  <c r="AG24" i="3"/>
  <c r="AC24" i="3"/>
  <c r="X24" i="3"/>
  <c r="T24" i="3"/>
  <c r="P24" i="3"/>
  <c r="L24" i="3"/>
  <c r="H24" i="3"/>
  <c r="CF14" i="3"/>
  <c r="CB14" i="3"/>
  <c r="BX14" i="3"/>
  <c r="BT14" i="3"/>
  <c r="BP14" i="3"/>
  <c r="BL14" i="3"/>
  <c r="BH14" i="3"/>
  <c r="BD14" i="3"/>
  <c r="AZ14" i="3"/>
  <c r="AV14" i="3"/>
  <c r="AR14" i="3"/>
  <c r="AN14" i="3"/>
  <c r="AJ14" i="3"/>
  <c r="AE14" i="3"/>
  <c r="Z14" i="3"/>
  <c r="V14" i="3"/>
  <c r="R14" i="3"/>
  <c r="N14" i="3"/>
  <c r="J14" i="3"/>
  <c r="F14" i="3"/>
  <c r="AH38" i="3" l="1"/>
  <c r="BS38" i="3"/>
  <c r="CE38" i="3"/>
  <c r="Z38" i="3"/>
  <c r="AR38" i="3"/>
  <c r="BH38" i="3"/>
  <c r="AJ38" i="3"/>
  <c r="BP38" i="3"/>
  <c r="P38" i="3"/>
  <c r="AX38" i="3"/>
  <c r="CD38" i="3"/>
  <c r="AF38" i="3"/>
  <c r="CG38" i="3"/>
  <c r="AK38" i="3"/>
  <c r="AG38" i="3"/>
  <c r="BN38" i="3"/>
  <c r="CC38" i="3"/>
  <c r="J38" i="3"/>
  <c r="L38" i="3"/>
  <c r="AC38" i="3"/>
  <c r="AT38" i="3"/>
  <c r="BJ38" i="3"/>
  <c r="BZ38" i="3"/>
  <c r="K38" i="3"/>
  <c r="AB38" i="3"/>
  <c r="BY38" i="3"/>
  <c r="I38" i="3"/>
  <c r="Y38" i="3"/>
  <c r="R38" i="3"/>
  <c r="AN38" i="3"/>
  <c r="BD38" i="3"/>
  <c r="F38" i="3"/>
  <c r="V38" i="3"/>
  <c r="E38" i="3"/>
  <c r="U38" i="3"/>
  <c r="AM38" i="3"/>
  <c r="BC38" i="3"/>
  <c r="T38" i="3"/>
  <c r="AL38" i="3"/>
  <c r="BB38" i="3"/>
  <c r="BR38" i="3"/>
  <c r="CH38" i="3"/>
  <c r="S38" i="3"/>
  <c r="BA38" i="3"/>
  <c r="BQ38" i="3"/>
  <c r="CI38" i="3"/>
  <c r="AQ38" i="3"/>
  <c r="BG38" i="3"/>
  <c r="N38" i="3"/>
  <c r="AE38" i="3"/>
  <c r="AV38" i="3"/>
  <c r="BL38" i="3"/>
  <c r="CB38" i="3"/>
  <c r="O38" i="3"/>
  <c r="H38" i="3"/>
  <c r="X38" i="3"/>
  <c r="AP38" i="3"/>
  <c r="BF38" i="3"/>
  <c r="BV38" i="3"/>
  <c r="G38" i="3"/>
  <c r="W38" i="3"/>
  <c r="BE38" i="3"/>
  <c r="BU38" i="3"/>
  <c r="BW38" i="3"/>
  <c r="AY38" i="3"/>
  <c r="BO38" i="3"/>
  <c r="AW38" i="3"/>
  <c r="BM38" i="3"/>
  <c r="AS38" i="3"/>
  <c r="BI38" i="3"/>
  <c r="AZ38" i="3"/>
  <c r="CF38" i="3"/>
  <c r="BT38" i="3"/>
  <c r="BX38" i="3"/>
  <c r="EB40" i="3"/>
  <c r="EC40" i="3"/>
  <c r="DG40" i="3" l="1"/>
  <c r="DS40" i="3"/>
  <c r="DK40" i="3"/>
  <c r="DR40" i="3" l="1"/>
  <c r="DP40" i="3"/>
  <c r="DL40" i="3"/>
  <c r="DH40" i="3"/>
  <c r="I40" i="3"/>
  <c r="DE40" i="3"/>
  <c r="DV40" i="3"/>
  <c r="DI40" i="3"/>
  <c r="DO40" i="3"/>
  <c r="DN40" i="3"/>
  <c r="DM40" i="3"/>
  <c r="DF40" i="3"/>
  <c r="DW40" i="3"/>
  <c r="DJ40" i="3"/>
  <c r="DQ40" i="3"/>
  <c r="DU40" i="3"/>
  <c r="M40" i="3"/>
  <c r="G40" i="3"/>
  <c r="CX40" i="3"/>
  <c r="K40" i="3"/>
  <c r="CV40" i="3"/>
  <c r="CW40" i="3"/>
  <c r="CZ40" i="3"/>
  <c r="CY40" i="3"/>
  <c r="O40" i="3" l="1"/>
  <c r="Q40" i="3" l="1"/>
  <c r="D14" i="3"/>
  <c r="S40" i="3" l="1"/>
  <c r="U40" i="3" l="1"/>
  <c r="W40" i="3" l="1"/>
  <c r="Y40" i="3" l="1"/>
  <c r="AB40" i="3" l="1"/>
  <c r="AD40" i="3" l="1"/>
  <c r="AF40" i="3" l="1"/>
  <c r="AH40" i="3" l="1"/>
  <c r="AK40" i="3" l="1"/>
  <c r="AM40" i="3" l="1"/>
  <c r="AQ40" i="3" l="1"/>
  <c r="AS40" i="3" l="1"/>
  <c r="AU40" i="3" l="1"/>
  <c r="AW40" i="3" l="1"/>
  <c r="AY40" i="3" l="1"/>
  <c r="BA40" i="3" l="1"/>
  <c r="BC40" i="3" l="1"/>
  <c r="BE40" i="3" l="1"/>
  <c r="BG40" i="3" l="1"/>
  <c r="CP40" i="3" l="1"/>
  <c r="BI40" i="3"/>
  <c r="CN40" i="3" l="1"/>
  <c r="BK40" i="3"/>
  <c r="BM40" i="3" l="1"/>
  <c r="BO40" i="3" l="1"/>
  <c r="BQ40" i="3" l="1"/>
  <c r="BS40" i="3" l="1"/>
  <c r="BU40" i="3" l="1"/>
  <c r="BW40" i="3" l="1"/>
  <c r="BY40" i="3" l="1"/>
  <c r="CA40" i="3" l="1"/>
  <c r="CC40" i="3" l="1"/>
  <c r="CE40" i="3" l="1"/>
  <c r="CI40" i="3" l="1"/>
  <c r="CG40" i="3"/>
  <c r="E40" i="3" l="1"/>
  <c r="H40" i="3"/>
  <c r="F40" i="3"/>
  <c r="J40" i="3" l="1"/>
  <c r="L40" i="3" l="1"/>
  <c r="N40" i="3" l="1"/>
  <c r="P40" i="3" l="1"/>
  <c r="R40" i="3" l="1"/>
  <c r="T40" i="3" l="1"/>
  <c r="V40" i="3" l="1"/>
  <c r="X40" i="3" l="1"/>
  <c r="Z40" i="3" l="1"/>
  <c r="AC40" i="3" l="1"/>
  <c r="AE40" i="3" l="1"/>
  <c r="AG40" i="3" l="1"/>
  <c r="AJ40" i="3" l="1"/>
  <c r="AL40" i="3" l="1"/>
  <c r="AN40" i="3" l="1"/>
  <c r="AP40" i="3" l="1"/>
  <c r="AR40" i="3" l="1"/>
  <c r="AT40" i="3" l="1"/>
  <c r="AV40" i="3" l="1"/>
  <c r="AX40" i="3" l="1"/>
  <c r="AZ40" i="3" l="1"/>
  <c r="BB40" i="3" l="1"/>
  <c r="BD40" i="3" l="1"/>
  <c r="BF40" i="3" l="1"/>
  <c r="BH40" i="3" l="1"/>
  <c r="BJ40" i="3" l="1"/>
  <c r="BL40" i="3" l="1"/>
  <c r="BN40" i="3" l="1"/>
  <c r="BP40" i="3" l="1"/>
  <c r="BR40" i="3" l="1"/>
  <c r="BT40" i="3" l="1"/>
  <c r="BV40" i="3" l="1"/>
  <c r="BX40" i="3" l="1"/>
  <c r="BZ40" i="3" l="1"/>
  <c r="CB40" i="3" l="1"/>
  <c r="CD40" i="3" l="1"/>
  <c r="CF40" i="3" l="1"/>
  <c r="CH40" i="3" l="1"/>
  <c r="D9" i="3" l="1"/>
  <c r="D38" i="3" s="1"/>
  <c r="D40" i="3" l="1"/>
  <c r="CM10" i="3"/>
  <c r="CM38" i="3" s="1"/>
  <c r="CM9" i="3" l="1"/>
  <c r="AO38" i="3"/>
  <c r="AO40" i="3" l="1"/>
  <c r="CO40" i="3"/>
  <c r="CQ40" i="3"/>
  <c r="CM40" i="3"/>
  <c r="CU14" i="3"/>
  <c r="CU38" i="3" s="1"/>
  <c r="DT40" i="3"/>
  <c r="EG40" i="3"/>
  <c r="EL28" i="3"/>
  <c r="EL38" i="3" s="1"/>
  <c r="CU40" i="3" l="1"/>
  <c r="EL40" i="3"/>
</calcChain>
</file>

<file path=xl/sharedStrings.xml><?xml version="1.0" encoding="utf-8"?>
<sst xmlns="http://schemas.openxmlformats.org/spreadsheetml/2006/main" count="628" uniqueCount="217">
  <si>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</si>
  <si>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</si>
  <si>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</si>
  <si>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</si>
  <si>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</si>
  <si>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</si>
  <si>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</si>
  <si>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</si>
  <si>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</si>
  <si>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</si>
  <si>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</si>
  <si>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</si>
  <si>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</si>
  <si>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</si>
  <si>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</si>
  <si>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</si>
  <si>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</si>
  <si>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</si>
  <si>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</si>
  <si>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</si>
  <si>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</si>
  <si>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</si>
  <si>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</si>
  <si>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</si>
  <si>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</si>
  <si>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12</t>
  </si>
  <si>
    <t>46</t>
  </si>
  <si>
    <t>20</t>
  </si>
  <si>
    <t>Кольская ул.</t>
  </si>
  <si>
    <t>17</t>
  </si>
  <si>
    <t>18</t>
  </si>
  <si>
    <t>19</t>
  </si>
  <si>
    <t>21</t>
  </si>
  <si>
    <t>22</t>
  </si>
  <si>
    <t>Пушкинская ул.</t>
  </si>
  <si>
    <t>4,2</t>
  </si>
  <si>
    <t>Добролюбова ул.</t>
  </si>
  <si>
    <t>16</t>
  </si>
  <si>
    <t>Ильича ул.</t>
  </si>
  <si>
    <t>50,3</t>
  </si>
  <si>
    <t>50,2</t>
  </si>
  <si>
    <t>50</t>
  </si>
  <si>
    <t>4</t>
  </si>
  <si>
    <t>18,1</t>
  </si>
  <si>
    <t>Каботажная ул.</t>
  </si>
  <si>
    <t>7</t>
  </si>
  <si>
    <t>Кутузова И.М. ул.</t>
  </si>
  <si>
    <t>1</t>
  </si>
  <si>
    <t>11</t>
  </si>
  <si>
    <t>Партизанская ул.</t>
  </si>
  <si>
    <t>3</t>
  </si>
  <si>
    <t>12,1</t>
  </si>
  <si>
    <t>12,2</t>
  </si>
  <si>
    <t>5</t>
  </si>
  <si>
    <t>9</t>
  </si>
  <si>
    <t>Репина ул.</t>
  </si>
  <si>
    <t>14</t>
  </si>
  <si>
    <t>16,1</t>
  </si>
  <si>
    <t>Титова ул.</t>
  </si>
  <si>
    <t>6</t>
  </si>
  <si>
    <t>13</t>
  </si>
  <si>
    <t>15,1</t>
  </si>
  <si>
    <t>20,1</t>
  </si>
  <si>
    <t>Тельмана ул.</t>
  </si>
  <si>
    <t>Ударников, ул.</t>
  </si>
  <si>
    <t>Титова, ул.</t>
  </si>
  <si>
    <t>Бергавинова ул.</t>
  </si>
  <si>
    <t>8</t>
  </si>
  <si>
    <t>Целлюлозная, ул.</t>
  </si>
  <si>
    <t xml:space="preserve">Орджоникидзе ул., </t>
  </si>
  <si>
    <t>26</t>
  </si>
  <si>
    <t>Ильича, ул.</t>
  </si>
  <si>
    <t>54</t>
  </si>
  <si>
    <t>54,1</t>
  </si>
  <si>
    <t>Кольская, ул.</t>
  </si>
  <si>
    <t>10</t>
  </si>
  <si>
    <t>Мичурина ул.</t>
  </si>
  <si>
    <t>26,3</t>
  </si>
  <si>
    <t>11,1</t>
  </si>
  <si>
    <t>15</t>
  </si>
  <si>
    <t>Ударникова ул.</t>
  </si>
  <si>
    <t>2</t>
  </si>
  <si>
    <t>2,1</t>
  </si>
  <si>
    <t>24</t>
  </si>
  <si>
    <t>Индустриальная, ул.</t>
  </si>
  <si>
    <t>28,2</t>
  </si>
  <si>
    <t>Добролюбова, ул.</t>
  </si>
  <si>
    <t>2,2</t>
  </si>
  <si>
    <t>Каботажная, ул.</t>
  </si>
  <si>
    <t>Кировская ул.</t>
  </si>
  <si>
    <t>25</t>
  </si>
  <si>
    <t>Титова,ул</t>
  </si>
  <si>
    <t>Красных маршалов ул.</t>
  </si>
  <si>
    <t>Горького,ул.</t>
  </si>
  <si>
    <t xml:space="preserve">Бергавинова ул. </t>
  </si>
  <si>
    <t>Мичурина, ул.</t>
  </si>
  <si>
    <t>24,1</t>
  </si>
  <si>
    <t>24,2</t>
  </si>
  <si>
    <t>39,2</t>
  </si>
  <si>
    <t>Репина, ул.</t>
  </si>
  <si>
    <t>Пушкинская, ул.</t>
  </si>
  <si>
    <t>24,3</t>
  </si>
  <si>
    <t>26,1</t>
  </si>
  <si>
    <t>Ильича, ул</t>
  </si>
  <si>
    <t>50,1</t>
  </si>
  <si>
    <t>46,1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</si>
  <si>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</si>
  <si>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</si>
  <si>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</si>
  <si>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</si>
  <si>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</si>
  <si>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</si>
  <si>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</si>
  <si>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Лот № 1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</si>
  <si>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</si>
  <si>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</si>
  <si>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</si>
  <si>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</si>
  <si>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</si>
  <si>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</si>
  <si>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</si>
  <si>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</si>
  <si>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</si>
  <si>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</si>
  <si>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</si>
  <si>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</si>
  <si>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</si>
  <si>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</si>
  <si>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</si>
  <si>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</si>
  <si>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</si>
  <si>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</si>
  <si>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</si>
  <si>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</si>
  <si>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</si>
  <si>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</si>
  <si>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</si>
  <si>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</si>
  <si>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</si>
  <si>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</si>
  <si>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</si>
  <si>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</si>
  <si>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</si>
  <si>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</si>
  <si>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</si>
  <si>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</si>
  <si>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</si>
  <si>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</si>
  <si>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</si>
  <si>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</si>
  <si>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</si>
  <si>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</si>
  <si>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</si>
  <si>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</si>
  <si>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</si>
  <si>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</si>
  <si>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</si>
  <si>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</si>
  <si>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</si>
  <si>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</si>
  <si>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</si>
  <si>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</si>
  <si>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</si>
  <si>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</si>
  <si>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</si>
  <si>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</si>
  <si>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</si>
  <si>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</si>
  <si>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</si>
  <si>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</si>
  <si>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</si>
  <si>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</si>
  <si>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VII. Расходы на ОДН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</si>
  <si>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</si>
  <si>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</si>
  <si>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</si>
  <si>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</si>
  <si>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</si>
  <si>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</si>
  <si>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</si>
  <si>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</si>
  <si>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</si>
  <si>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</si>
  <si>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</si>
  <si>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</si>
  <si>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</si>
  <si>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</si>
  <si>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</si>
  <si>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</si>
  <si>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</si>
  <si>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</si>
  <si>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</si>
  <si>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</si>
  <si>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</si>
  <si>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</si>
  <si>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</si>
  <si>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</si>
  <si>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</si>
  <si>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</si>
  <si>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</si>
  <si>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</si>
  <si>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</si>
  <si>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</si>
  <si>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</si>
  <si>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</si>
  <si>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</si>
  <si>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</si>
  <si>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</si>
  <si>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</si>
  <si>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 xml:space="preserve">Перечень обязательных работ, услуг,                                           5 этажные кирпичные  жилые дома </t>
  </si>
  <si>
    <t>Партизанская, ул</t>
  </si>
  <si>
    <t xml:space="preserve"> 64, к.1</t>
  </si>
  <si>
    <t>ДОБРОЛЮБОВА ул.</t>
  </si>
  <si>
    <t>ХИМИКОВ ул.</t>
  </si>
  <si>
    <t>VI. Проведение технической инвентаризации</t>
  </si>
  <si>
    <t>Проведение технической инвентаризации,                           25 000 руб.                                         В тарифе распределяется на площадь жилых помещений в МКД</t>
  </si>
  <si>
    <t>VIII. Расходы на ОДН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</si>
</sst>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7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wrapText="1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3" xfId="2" applyNumberFormat="1" applyFont="1" applyFill="1" applyBorder="1" applyAlignment="1">
      <alignment horizontal="left" wrapText="1"/>
    </xf>
    <xf numFmtId="49" fontId="13" fillId="2" borderId="14" xfId="2" applyNumberFormat="1" applyFont="1" applyFill="1" applyBorder="1" applyAlignment="1">
      <alignment horizontal="left" wrapText="1"/>
    </xf>
    <xf numFmtId="49" fontId="16" fillId="2" borderId="15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 wrapText="1"/>
    </xf>
    <xf numFmtId="49" fontId="13" fillId="2" borderId="23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/>
    </xf>
    <xf numFmtId="49" fontId="16" fillId="2" borderId="26" xfId="0" applyNumberFormat="1" applyFont="1" applyFill="1" applyBorder="1" applyAlignment="1">
      <alignment horizontal="left" wrapText="1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25" xfId="2" applyNumberFormat="1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>
      <alignment horizontal="left" vertical="center" wrapText="1"/>
    </xf>
    <xf numFmtId="49" fontId="13" fillId="2" borderId="25" xfId="2" applyNumberFormat="1" applyFont="1" applyFill="1" applyBorder="1" applyAlignment="1">
      <alignment horizontal="left" wrapText="1"/>
    </xf>
    <xf numFmtId="4" fontId="15" fillId="2" borderId="4" xfId="0" applyNumberFormat="1" applyFont="1" applyFill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7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9" fontId="13" fillId="2" borderId="13" xfId="2" applyNumberFormat="1" applyFont="1" applyFill="1" applyBorder="1" applyAlignment="1">
      <alignment horizontal="center" wrapText="1"/>
    </xf>
    <xf numFmtId="49" fontId="13" fillId="2" borderId="9" xfId="2" applyNumberFormat="1" applyFont="1" applyFill="1" applyBorder="1" applyAlignment="1">
      <alignment horizontal="center" wrapText="1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4" fontId="10" fillId="2" borderId="28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top"/>
    </xf>
    <xf numFmtId="4" fontId="15" fillId="0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center" vertical="center"/>
    </xf>
    <xf numFmtId="4" fontId="10" fillId="2" borderId="28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4" fontId="20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2" fontId="11" fillId="0" borderId="9" xfId="0" applyNumberFormat="1" applyFont="1" applyFill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13" fillId="2" borderId="21" xfId="2" applyNumberFormat="1" applyFont="1" applyFill="1" applyBorder="1" applyAlignment="1">
      <alignment horizontal="center" wrapText="1"/>
    </xf>
    <xf numFmtId="49" fontId="13" fillId="2" borderId="29" xfId="2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/>
    </xf>
    <xf numFmtId="0" fontId="2" fillId="3" borderId="9" xfId="0" applyFont="1" applyFill="1" applyBorder="1" applyAlignment="1"/>
    <xf numFmtId="4" fontId="8" fillId="3" borderId="9" xfId="0" applyNumberFormat="1" applyFont="1" applyFill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2" fontId="11" fillId="0" borderId="9" xfId="0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29" xfId="0" applyNumberFormat="1" applyFont="1" applyFill="1" applyBorder="1" applyAlignment="1">
      <alignment horizontal="center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2" fontId="13" fillId="2" borderId="9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 vertical="center"/>
    </xf>
    <xf numFmtId="2" fontId="13" fillId="2" borderId="6" xfId="0" applyNumberFormat="1" applyFont="1" applyFill="1" applyBorder="1" applyAlignment="1">
      <alignment horizontal="center" vertical="center" wrapText="1"/>
    </xf>
    <xf numFmtId="2" fontId="1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19" xfId="0" applyNumberFormat="1" applyFont="1" applyFill="1" applyBorder="1" applyAlignment="1">
      <alignment horizontal="center" vertical="center" wrapText="1"/>
    </xf>
    <xf numFmtId="4" fontId="8" fillId="3" borderId="20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>
      <alignment horizontal="center" vertical="center" wrapText="1"/>
    </xf>
    <xf numFmtId="4" fontId="15" fillId="3" borderId="22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24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15" fillId="3" borderId="9" xfId="0" applyNumberFormat="1" applyFont="1" applyFill="1" applyBorder="1" applyAlignment="1">
      <alignment horizontal="center" vertical="center" wrapText="1"/>
    </xf>
    <xf numFmtId="4" fontId="15" fillId="3" borderId="25" xfId="0" applyNumberFormat="1" applyFont="1" applyFill="1" applyBorder="1" applyAlignment="1">
      <alignment horizontal="center" vertical="center" wrapText="1"/>
    </xf>
    <xf numFmtId="4" fontId="8" fillId="3" borderId="2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4" fontId="22" fillId="0" borderId="0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23" fillId="0" borderId="0" xfId="0" applyNumberFormat="1" applyFont="1" applyBorder="1" applyAlignment="1"/>
    <xf numFmtId="49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48"/>
  <sheetViews>
    <sheetView tabSelected="1" view="pageBreakPreview" topLeftCell="EA28" zoomScale="86" zoomScaleNormal="100" zoomScaleSheetLayoutView="86" workbookViewId="0">
      <selection activeCell="EP37" sqref="EP37:ES39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4" width="9.28515625" style="7" customWidth="1"/>
    <col min="5" max="5" width="13.7109375" style="7" customWidth="1"/>
    <col min="6" max="87" width="9.28515625" style="7" customWidth="1"/>
    <col min="88" max="88" width="60.7109375" style="52" customWidth="1"/>
    <col min="89" max="89" width="33.85546875" style="20" customWidth="1"/>
    <col min="90" max="90" width="23.5703125" style="20" customWidth="1"/>
    <col min="91" max="92" width="9.28515625" style="7" customWidth="1"/>
    <col min="93" max="93" width="13.42578125" style="7" customWidth="1"/>
    <col min="94" max="94" width="13" style="7" customWidth="1"/>
    <col min="95" max="95" width="16" style="7" customWidth="1"/>
    <col min="96" max="96" width="54" style="7" customWidth="1"/>
    <col min="97" max="97" width="30.42578125" style="7" customWidth="1"/>
    <col min="98" max="98" width="27.140625" style="20" customWidth="1"/>
    <col min="99" max="104" width="17.28515625" style="20" customWidth="1"/>
    <col min="105" max="105" width="48.5703125" style="20" customWidth="1"/>
    <col min="106" max="106" width="26.85546875" style="20" customWidth="1"/>
    <col min="107" max="107" width="17.28515625" style="20" customWidth="1"/>
    <col min="108" max="127" width="9.28515625" style="7" customWidth="1"/>
    <col min="128" max="128" width="74.7109375" style="7" customWidth="1"/>
    <col min="129" max="129" width="24.5703125" style="7" customWidth="1"/>
    <col min="130" max="130" width="25.140625" style="7" customWidth="1"/>
    <col min="131" max="131" width="9.28515625" style="7" customWidth="1"/>
    <col min="132" max="132" width="12.7109375" style="7" customWidth="1"/>
    <col min="133" max="133" width="9.28515625" style="7" customWidth="1"/>
    <col min="134" max="134" width="47" style="7" customWidth="1"/>
    <col min="135" max="135" width="14.7109375" style="7" customWidth="1"/>
    <col min="136" max="136" width="17.5703125" style="7" customWidth="1"/>
    <col min="137" max="138" width="10.5703125" style="7" customWidth="1"/>
    <col min="139" max="139" width="50" style="7" customWidth="1"/>
    <col min="140" max="140" width="14.7109375" style="7" customWidth="1"/>
    <col min="141" max="144" width="14.5703125" style="7" customWidth="1"/>
    <col min="145" max="147" width="13.5703125" customWidth="1"/>
    <col min="148" max="148" width="13.140625" style="156" customWidth="1"/>
  </cols>
  <sheetData>
    <row r="1" spans="1:153" s="1" customFormat="1" ht="16.5" customHeight="1" x14ac:dyDescent="0.25">
      <c r="A1" s="38" t="s">
        <v>19</v>
      </c>
      <c r="B1" s="38"/>
      <c r="C1" s="38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1"/>
      <c r="CK1" s="38"/>
      <c r="CL1" s="38"/>
      <c r="CM1" s="3"/>
      <c r="CN1" s="3"/>
      <c r="CO1" s="3"/>
      <c r="CP1" s="3"/>
      <c r="CQ1" s="3"/>
      <c r="CR1" s="3"/>
      <c r="CS1" s="3"/>
      <c r="CT1" s="38"/>
      <c r="CU1" s="37"/>
      <c r="CV1" s="37"/>
      <c r="CW1" s="37"/>
      <c r="CX1" s="28"/>
      <c r="CY1" s="28"/>
      <c r="CZ1" s="28"/>
      <c r="DA1" s="37"/>
      <c r="DB1" s="37"/>
      <c r="DC1" s="37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R1" s="154"/>
    </row>
    <row r="2" spans="1:153" s="1" customFormat="1" ht="16.5" customHeight="1" x14ac:dyDescent="0.25">
      <c r="A2" s="38" t="s">
        <v>18</v>
      </c>
      <c r="B2" s="38"/>
      <c r="C2" s="3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51"/>
      <c r="CK2" s="38"/>
      <c r="CL2" s="38"/>
      <c r="CM2" s="4"/>
      <c r="CN2" s="4"/>
      <c r="CO2" s="4"/>
      <c r="CP2" s="4"/>
      <c r="CQ2" s="4"/>
      <c r="CR2" s="4"/>
      <c r="CS2" s="4"/>
      <c r="CT2" s="38"/>
      <c r="CU2" s="37"/>
      <c r="CV2" s="37"/>
      <c r="CW2" s="37"/>
      <c r="CX2" s="28"/>
      <c r="CY2" s="28"/>
      <c r="CZ2" s="28"/>
      <c r="DA2" s="37"/>
      <c r="DB2" s="37"/>
      <c r="DC2" s="37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R2" s="154"/>
    </row>
    <row r="3" spans="1:153" s="1" customFormat="1" ht="16.5" customHeight="1" x14ac:dyDescent="0.25">
      <c r="A3" s="38" t="s">
        <v>17</v>
      </c>
      <c r="B3" s="38"/>
      <c r="C3" s="3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51"/>
      <c r="CK3" s="38"/>
      <c r="CL3" s="38"/>
      <c r="CM3" s="4"/>
      <c r="CN3" s="4"/>
      <c r="CO3" s="4"/>
      <c r="CP3" s="4"/>
      <c r="CQ3" s="4"/>
      <c r="CR3" s="4"/>
      <c r="CS3" s="4"/>
      <c r="CT3" s="38"/>
      <c r="CU3" s="37"/>
      <c r="CV3" s="37"/>
      <c r="CW3" s="37"/>
      <c r="CX3" s="28"/>
      <c r="CY3" s="28"/>
      <c r="CZ3" s="28"/>
      <c r="DA3" s="37"/>
      <c r="DB3" s="37"/>
      <c r="DC3" s="37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R3" s="154"/>
    </row>
    <row r="4" spans="1:153" s="1" customFormat="1" ht="16.5" customHeight="1" x14ac:dyDescent="0.2">
      <c r="A4" s="38" t="s">
        <v>16</v>
      </c>
      <c r="B4" s="38"/>
      <c r="C4" s="3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51"/>
      <c r="CK4" s="38"/>
      <c r="CL4" s="38"/>
      <c r="CM4" s="7"/>
      <c r="CN4" s="7"/>
      <c r="CO4" s="7"/>
      <c r="CP4" s="7"/>
      <c r="CQ4" s="7"/>
      <c r="CR4" s="7"/>
      <c r="CS4" s="7"/>
      <c r="CT4" s="38"/>
      <c r="CU4" s="37"/>
      <c r="CV4" s="28"/>
      <c r="CW4" s="28"/>
      <c r="CX4" s="28"/>
      <c r="CY4" s="28"/>
      <c r="CZ4" s="28"/>
      <c r="DA4" s="37"/>
      <c r="DB4" s="37"/>
      <c r="DC4" s="3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R4" s="154"/>
    </row>
    <row r="5" spans="1:153" s="1" customFormat="1" x14ac:dyDescent="0.2">
      <c r="A5" s="5" t="s">
        <v>113</v>
      </c>
      <c r="B5" s="20"/>
      <c r="C5" s="2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52"/>
      <c r="CK5" s="20"/>
      <c r="CL5" s="20"/>
      <c r="CM5" s="7"/>
      <c r="CN5" s="7"/>
      <c r="CO5" s="7"/>
      <c r="CP5" s="7"/>
      <c r="CQ5" s="7"/>
      <c r="CR5" s="7"/>
      <c r="CS5" s="7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R5" s="154"/>
    </row>
    <row r="6" spans="1:153" s="1" customFormat="1" ht="15.75" customHeight="1" x14ac:dyDescent="0.2">
      <c r="A6" s="157" t="s">
        <v>15</v>
      </c>
      <c r="B6" s="62" t="s">
        <v>14</v>
      </c>
      <c r="C6" s="63"/>
      <c r="D6" s="24"/>
      <c r="E6" s="17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4"/>
      <c r="CK6" s="24"/>
      <c r="CL6" s="24"/>
      <c r="CM6" s="17"/>
      <c r="CN6" s="29"/>
      <c r="CO6" s="29"/>
      <c r="CP6" s="29"/>
      <c r="CQ6" s="17"/>
      <c r="CR6" s="29"/>
      <c r="CS6" s="29"/>
      <c r="CT6" s="42"/>
      <c r="CU6" s="24"/>
      <c r="CV6" s="24"/>
      <c r="CW6" s="24"/>
      <c r="CX6" s="24"/>
      <c r="CY6" s="24"/>
      <c r="CZ6" s="24"/>
      <c r="DA6" s="42"/>
      <c r="DB6" s="42"/>
      <c r="DC6" s="42"/>
      <c r="DD6" s="17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17"/>
      <c r="EH6" s="29"/>
      <c r="EI6" s="29"/>
      <c r="EJ6" s="29"/>
      <c r="EK6" s="29"/>
      <c r="EL6" s="29"/>
      <c r="EM6" s="29"/>
      <c r="EN6" s="29"/>
      <c r="EO6" s="17"/>
      <c r="EP6" s="29"/>
      <c r="EQ6" s="29"/>
      <c r="ER6" s="29"/>
      <c r="ES6" s="17"/>
      <c r="ET6" s="17"/>
      <c r="EU6" s="17"/>
      <c r="EV6" s="17"/>
      <c r="EW6" s="17"/>
    </row>
    <row r="7" spans="1:153" s="8" customFormat="1" ht="71.25" customHeight="1" x14ac:dyDescent="0.2">
      <c r="A7" s="158"/>
      <c r="B7" s="159" t="s">
        <v>13</v>
      </c>
      <c r="C7" s="167" t="s">
        <v>131</v>
      </c>
      <c r="D7" s="32" t="s">
        <v>36</v>
      </c>
      <c r="E7" s="32" t="s">
        <v>36</v>
      </c>
      <c r="F7" s="34" t="s">
        <v>44</v>
      </c>
      <c r="G7" s="34" t="s">
        <v>46</v>
      </c>
      <c r="H7" s="34" t="s">
        <v>46</v>
      </c>
      <c r="I7" s="34" t="s">
        <v>49</v>
      </c>
      <c r="J7" s="34" t="s">
        <v>49</v>
      </c>
      <c r="K7" s="34" t="s">
        <v>49</v>
      </c>
      <c r="L7" s="34" t="s">
        <v>34</v>
      </c>
      <c r="M7" s="34" t="s">
        <v>34</v>
      </c>
      <c r="N7" s="34" t="s">
        <v>34</v>
      </c>
      <c r="O7" s="34" t="s">
        <v>34</v>
      </c>
      <c r="P7" s="34" t="s">
        <v>55</v>
      </c>
      <c r="Q7" s="34" t="s">
        <v>55</v>
      </c>
      <c r="R7" s="34" t="s">
        <v>55</v>
      </c>
      <c r="S7" s="34" t="s">
        <v>55</v>
      </c>
      <c r="T7" s="34" t="s">
        <v>58</v>
      </c>
      <c r="U7" s="34" t="s">
        <v>58</v>
      </c>
      <c r="V7" s="34" t="s">
        <v>58</v>
      </c>
      <c r="W7" s="34" t="s">
        <v>58</v>
      </c>
      <c r="X7" s="34" t="s">
        <v>58</v>
      </c>
      <c r="Y7" s="34" t="s">
        <v>63</v>
      </c>
      <c r="Z7" s="34" t="s">
        <v>64</v>
      </c>
      <c r="AA7" s="34" t="s">
        <v>64</v>
      </c>
      <c r="AB7" s="34" t="s">
        <v>64</v>
      </c>
      <c r="AC7" s="34" t="s">
        <v>64</v>
      </c>
      <c r="AD7" s="34" t="s">
        <v>65</v>
      </c>
      <c r="AE7" s="34" t="s">
        <v>46</v>
      </c>
      <c r="AF7" s="34" t="s">
        <v>66</v>
      </c>
      <c r="AG7" s="34" t="s">
        <v>68</v>
      </c>
      <c r="AH7" s="34" t="s">
        <v>69</v>
      </c>
      <c r="AI7" s="34" t="s">
        <v>69</v>
      </c>
      <c r="AJ7" s="34" t="s">
        <v>71</v>
      </c>
      <c r="AK7" s="34" t="s">
        <v>71</v>
      </c>
      <c r="AL7" s="34" t="s">
        <v>71</v>
      </c>
      <c r="AM7" s="34" t="s">
        <v>74</v>
      </c>
      <c r="AN7" s="34" t="s">
        <v>74</v>
      </c>
      <c r="AO7" s="34" t="s">
        <v>74</v>
      </c>
      <c r="AP7" s="34" t="s">
        <v>74</v>
      </c>
      <c r="AQ7" s="34" t="s">
        <v>36</v>
      </c>
      <c r="AR7" s="34" t="s">
        <v>36</v>
      </c>
      <c r="AS7" s="34" t="s">
        <v>36</v>
      </c>
      <c r="AT7" s="34" t="s">
        <v>44</v>
      </c>
      <c r="AU7" s="34" t="s">
        <v>76</v>
      </c>
      <c r="AV7" s="34" t="s">
        <v>69</v>
      </c>
      <c r="AW7" s="34" t="s">
        <v>49</v>
      </c>
      <c r="AX7" s="34" t="s">
        <v>49</v>
      </c>
      <c r="AY7" s="34" t="s">
        <v>55</v>
      </c>
      <c r="AZ7" s="34" t="s">
        <v>55</v>
      </c>
      <c r="BA7" s="34" t="s">
        <v>55</v>
      </c>
      <c r="BB7" s="34" t="s">
        <v>55</v>
      </c>
      <c r="BC7" s="34" t="s">
        <v>58</v>
      </c>
      <c r="BD7" s="34" t="s">
        <v>80</v>
      </c>
      <c r="BE7" s="34" t="s">
        <v>80</v>
      </c>
      <c r="BF7" s="34" t="s">
        <v>80</v>
      </c>
      <c r="BG7" s="34" t="s">
        <v>80</v>
      </c>
      <c r="BH7" s="34" t="s">
        <v>80</v>
      </c>
      <c r="BI7" s="34" t="s">
        <v>80</v>
      </c>
      <c r="BJ7" s="34" t="s">
        <v>36</v>
      </c>
      <c r="BK7" s="34" t="s">
        <v>36</v>
      </c>
      <c r="BL7" s="34" t="s">
        <v>36</v>
      </c>
      <c r="BM7" s="34" t="s">
        <v>84</v>
      </c>
      <c r="BN7" s="34" t="s">
        <v>84</v>
      </c>
      <c r="BO7" s="34" t="s">
        <v>84</v>
      </c>
      <c r="BP7" s="34" t="s">
        <v>44</v>
      </c>
      <c r="BQ7" s="34" t="s">
        <v>46</v>
      </c>
      <c r="BR7" s="34" t="s">
        <v>46</v>
      </c>
      <c r="BS7" s="34" t="s">
        <v>49</v>
      </c>
      <c r="BT7" s="34" t="s">
        <v>55</v>
      </c>
      <c r="BU7" s="34" t="s">
        <v>55</v>
      </c>
      <c r="BV7" s="34" t="s">
        <v>55</v>
      </c>
      <c r="BW7" s="34" t="s">
        <v>55</v>
      </c>
      <c r="BX7" s="34" t="s">
        <v>55</v>
      </c>
      <c r="BY7" s="34" t="s">
        <v>64</v>
      </c>
      <c r="BZ7" s="34" t="s">
        <v>64</v>
      </c>
      <c r="CA7" s="34" t="s">
        <v>64</v>
      </c>
      <c r="CB7" s="34" t="s">
        <v>64</v>
      </c>
      <c r="CC7" s="34" t="s">
        <v>64</v>
      </c>
      <c r="CD7" s="34" t="s">
        <v>71</v>
      </c>
      <c r="CE7" s="34" t="s">
        <v>86</v>
      </c>
      <c r="CF7" s="34" t="s">
        <v>71</v>
      </c>
      <c r="CG7" s="34" t="s">
        <v>88</v>
      </c>
      <c r="CH7" s="34" t="s">
        <v>89</v>
      </c>
      <c r="CI7" s="34" t="s">
        <v>91</v>
      </c>
      <c r="CJ7" s="80" t="s">
        <v>132</v>
      </c>
      <c r="CK7" s="81" t="s">
        <v>13</v>
      </c>
      <c r="CL7" s="163" t="s">
        <v>171</v>
      </c>
      <c r="CM7" s="73" t="s">
        <v>36</v>
      </c>
      <c r="CN7" s="74" t="s">
        <v>38</v>
      </c>
      <c r="CO7" s="74" t="s">
        <v>38</v>
      </c>
      <c r="CP7" s="74" t="s">
        <v>38</v>
      </c>
      <c r="CQ7" s="73" t="s">
        <v>34</v>
      </c>
      <c r="CR7" s="162" t="s">
        <v>132</v>
      </c>
      <c r="CS7" s="169" t="s">
        <v>13</v>
      </c>
      <c r="CT7" s="169" t="s">
        <v>168</v>
      </c>
      <c r="CU7" s="75" t="s">
        <v>28</v>
      </c>
      <c r="CV7" s="75" t="s">
        <v>28</v>
      </c>
      <c r="CW7" s="75" t="s">
        <v>28</v>
      </c>
      <c r="CX7" s="75" t="s">
        <v>28</v>
      </c>
      <c r="CY7" s="75" t="s">
        <v>28</v>
      </c>
      <c r="CZ7" s="75" t="s">
        <v>34</v>
      </c>
      <c r="DA7" s="171" t="s">
        <v>15</v>
      </c>
      <c r="DB7" s="170" t="s">
        <v>13</v>
      </c>
      <c r="DC7" s="170" t="s">
        <v>169</v>
      </c>
      <c r="DD7" s="30" t="s">
        <v>92</v>
      </c>
      <c r="DE7" s="31" t="s">
        <v>71</v>
      </c>
      <c r="DF7" s="31" t="s">
        <v>84</v>
      </c>
      <c r="DG7" s="34" t="s">
        <v>88</v>
      </c>
      <c r="DH7" s="31" t="s">
        <v>93</v>
      </c>
      <c r="DI7" s="31" t="s">
        <v>93</v>
      </c>
      <c r="DJ7" s="34" t="s">
        <v>49</v>
      </c>
      <c r="DK7" s="34" t="s">
        <v>49</v>
      </c>
      <c r="DL7" s="30" t="s">
        <v>92</v>
      </c>
      <c r="DM7" s="34" t="s">
        <v>86</v>
      </c>
      <c r="DN7" s="31" t="s">
        <v>94</v>
      </c>
      <c r="DO7" s="31" t="s">
        <v>65</v>
      </c>
      <c r="DP7" s="31" t="s">
        <v>95</v>
      </c>
      <c r="DQ7" s="34" t="s">
        <v>69</v>
      </c>
      <c r="DR7" s="34" t="s">
        <v>69</v>
      </c>
      <c r="DS7" s="34" t="s">
        <v>69</v>
      </c>
      <c r="DT7" s="31" t="s">
        <v>103</v>
      </c>
      <c r="DU7" s="31" t="s">
        <v>99</v>
      </c>
      <c r="DV7" s="31" t="s">
        <v>99</v>
      </c>
      <c r="DW7" s="31" t="s">
        <v>100</v>
      </c>
      <c r="DX7" s="171" t="s">
        <v>132</v>
      </c>
      <c r="DY7" s="170" t="s">
        <v>13</v>
      </c>
      <c r="DZ7" s="170" t="s">
        <v>170</v>
      </c>
      <c r="EA7" s="34" t="s">
        <v>69</v>
      </c>
      <c r="EB7" s="34" t="s">
        <v>69</v>
      </c>
      <c r="EC7" s="31" t="s">
        <v>103</v>
      </c>
      <c r="ED7" s="160" t="s">
        <v>132</v>
      </c>
      <c r="EE7" s="163" t="s">
        <v>13</v>
      </c>
      <c r="EF7" s="165" t="s">
        <v>176</v>
      </c>
      <c r="EG7" s="94" t="s">
        <v>103</v>
      </c>
      <c r="EH7" s="121" t="s">
        <v>103</v>
      </c>
      <c r="EI7" s="162" t="s">
        <v>209</v>
      </c>
      <c r="EJ7" s="162" t="s">
        <v>13</v>
      </c>
      <c r="EK7" s="40" t="s">
        <v>210</v>
      </c>
      <c r="EL7" s="40" t="s">
        <v>212</v>
      </c>
      <c r="EM7" s="40" t="s">
        <v>213</v>
      </c>
      <c r="EN7" s="40" t="s">
        <v>213</v>
      </c>
      <c r="EO7" s="123" t="s">
        <v>68</v>
      </c>
      <c r="EP7" s="147"/>
      <c r="EQ7" s="147"/>
      <c r="ER7" s="120"/>
      <c r="ES7" s="120"/>
      <c r="ET7" s="120"/>
    </row>
    <row r="8" spans="1:153" s="8" customFormat="1" ht="22.5" customHeight="1" x14ac:dyDescent="0.2">
      <c r="A8" s="158"/>
      <c r="B8" s="159"/>
      <c r="C8" s="168"/>
      <c r="D8" s="23" t="s">
        <v>29</v>
      </c>
      <c r="E8" s="23" t="s">
        <v>43</v>
      </c>
      <c r="F8" s="35" t="s">
        <v>45</v>
      </c>
      <c r="G8" s="35" t="s">
        <v>47</v>
      </c>
      <c r="H8" s="35" t="s">
        <v>48</v>
      </c>
      <c r="I8" s="35" t="s">
        <v>50</v>
      </c>
      <c r="J8" s="35" t="s">
        <v>51</v>
      </c>
      <c r="K8" s="35" t="s">
        <v>52</v>
      </c>
      <c r="L8" s="35" t="s">
        <v>47</v>
      </c>
      <c r="M8" s="35" t="s">
        <v>53</v>
      </c>
      <c r="N8" s="35" t="s">
        <v>54</v>
      </c>
      <c r="O8" s="35" t="s">
        <v>25</v>
      </c>
      <c r="P8" s="35" t="s">
        <v>45</v>
      </c>
      <c r="Q8" s="35" t="s">
        <v>56</v>
      </c>
      <c r="R8" s="35" t="s">
        <v>37</v>
      </c>
      <c r="S8" s="35" t="s">
        <v>57</v>
      </c>
      <c r="T8" s="35" t="s">
        <v>59</v>
      </c>
      <c r="U8" s="35" t="s">
        <v>54</v>
      </c>
      <c r="V8" s="35" t="s">
        <v>60</v>
      </c>
      <c r="W8" s="35" t="s">
        <v>61</v>
      </c>
      <c r="X8" s="35" t="s">
        <v>62</v>
      </c>
      <c r="Y8" s="35" t="s">
        <v>50</v>
      </c>
      <c r="Z8" s="35" t="s">
        <v>45</v>
      </c>
      <c r="AA8" s="35" t="s">
        <v>25</v>
      </c>
      <c r="AB8" s="35" t="s">
        <v>37</v>
      </c>
      <c r="AC8" s="35" t="s">
        <v>30</v>
      </c>
      <c r="AD8" s="35" t="s">
        <v>27</v>
      </c>
      <c r="AE8" s="35" t="s">
        <v>50</v>
      </c>
      <c r="AF8" s="35" t="s">
        <v>67</v>
      </c>
      <c r="AG8" s="35" t="s">
        <v>56</v>
      </c>
      <c r="AH8" s="35" t="s">
        <v>70</v>
      </c>
      <c r="AI8" s="35" t="s">
        <v>33</v>
      </c>
      <c r="AJ8" s="35" t="s">
        <v>26</v>
      </c>
      <c r="AK8" s="35" t="s">
        <v>72</v>
      </c>
      <c r="AL8" s="35" t="s">
        <v>73</v>
      </c>
      <c r="AM8" s="35" t="s">
        <v>75</v>
      </c>
      <c r="AN8" s="35" t="s">
        <v>25</v>
      </c>
      <c r="AO8" s="35" t="s">
        <v>56</v>
      </c>
      <c r="AP8" s="35" t="s">
        <v>37</v>
      </c>
      <c r="AQ8" s="35" t="s">
        <v>30</v>
      </c>
      <c r="AR8" s="35" t="s">
        <v>27</v>
      </c>
      <c r="AS8" s="35" t="s">
        <v>33</v>
      </c>
      <c r="AT8" s="35" t="s">
        <v>48</v>
      </c>
      <c r="AU8" s="35" t="s">
        <v>75</v>
      </c>
      <c r="AV8" s="35" t="s">
        <v>77</v>
      </c>
      <c r="AW8" s="35" t="s">
        <v>59</v>
      </c>
      <c r="AX8" s="35" t="s">
        <v>25</v>
      </c>
      <c r="AY8" s="35" t="s">
        <v>78</v>
      </c>
      <c r="AZ8" s="35" t="s">
        <v>79</v>
      </c>
      <c r="BA8" s="35" t="s">
        <v>61</v>
      </c>
      <c r="BB8" s="35" t="s">
        <v>30</v>
      </c>
      <c r="BC8" s="35" t="s">
        <v>79</v>
      </c>
      <c r="BD8" s="35" t="s">
        <v>81</v>
      </c>
      <c r="BE8" s="35" t="s">
        <v>82</v>
      </c>
      <c r="BF8" s="35" t="s">
        <v>67</v>
      </c>
      <c r="BG8" s="35" t="s">
        <v>61</v>
      </c>
      <c r="BH8" s="35" t="s">
        <v>29</v>
      </c>
      <c r="BI8" s="35" t="s">
        <v>32</v>
      </c>
      <c r="BJ8" s="35" t="s">
        <v>45</v>
      </c>
      <c r="BK8" s="35" t="s">
        <v>25</v>
      </c>
      <c r="BL8" s="35" t="s">
        <v>83</v>
      </c>
      <c r="BM8" s="35" t="s">
        <v>25</v>
      </c>
      <c r="BN8" s="35" t="s">
        <v>56</v>
      </c>
      <c r="BO8" s="35" t="s">
        <v>37</v>
      </c>
      <c r="BP8" s="35" t="s">
        <v>54</v>
      </c>
      <c r="BQ8" s="35" t="s">
        <v>54</v>
      </c>
      <c r="BR8" s="35" t="s">
        <v>60</v>
      </c>
      <c r="BS8" s="35" t="s">
        <v>85</v>
      </c>
      <c r="BT8" s="35" t="s">
        <v>29</v>
      </c>
      <c r="BU8" s="35" t="s">
        <v>27</v>
      </c>
      <c r="BV8" s="35" t="s">
        <v>32</v>
      </c>
      <c r="BW8" s="35" t="s">
        <v>33</v>
      </c>
      <c r="BX8" s="35" t="s">
        <v>83</v>
      </c>
      <c r="BY8" s="35" t="s">
        <v>75</v>
      </c>
      <c r="BZ8" s="35" t="s">
        <v>48</v>
      </c>
      <c r="CA8" s="35" t="s">
        <v>79</v>
      </c>
      <c r="CB8" s="35" t="s">
        <v>31</v>
      </c>
      <c r="CC8" s="35" t="s">
        <v>70</v>
      </c>
      <c r="CD8" s="35" t="s">
        <v>25</v>
      </c>
      <c r="CE8" s="35" t="s">
        <v>79</v>
      </c>
      <c r="CF8" s="35" t="s">
        <v>87</v>
      </c>
      <c r="CG8" s="35" t="s">
        <v>53</v>
      </c>
      <c r="CH8" s="35" t="s">
        <v>48</v>
      </c>
      <c r="CI8" s="35" t="s">
        <v>90</v>
      </c>
      <c r="CJ8" s="93"/>
      <c r="CK8" s="93"/>
      <c r="CL8" s="164"/>
      <c r="CM8" s="50" t="s">
        <v>37</v>
      </c>
      <c r="CN8" s="25" t="s">
        <v>39</v>
      </c>
      <c r="CO8" s="25" t="s">
        <v>40</v>
      </c>
      <c r="CP8" s="25" t="s">
        <v>41</v>
      </c>
      <c r="CQ8" s="41" t="s">
        <v>42</v>
      </c>
      <c r="CR8" s="162"/>
      <c r="CS8" s="169"/>
      <c r="CT8" s="169"/>
      <c r="CU8" s="33" t="s">
        <v>29</v>
      </c>
      <c r="CV8" s="33" t="s">
        <v>30</v>
      </c>
      <c r="CW8" s="33" t="s">
        <v>31</v>
      </c>
      <c r="CX8" s="33" t="s">
        <v>32</v>
      </c>
      <c r="CY8" s="33" t="s">
        <v>33</v>
      </c>
      <c r="CZ8" s="44" t="s">
        <v>35</v>
      </c>
      <c r="DA8" s="171"/>
      <c r="DB8" s="170"/>
      <c r="DC8" s="170"/>
      <c r="DD8" s="30" t="s">
        <v>31</v>
      </c>
      <c r="DE8" s="30" t="s">
        <v>48</v>
      </c>
      <c r="DF8" s="30" t="s">
        <v>54</v>
      </c>
      <c r="DG8" s="30" t="s">
        <v>50</v>
      </c>
      <c r="DH8" s="30" t="s">
        <v>53</v>
      </c>
      <c r="DI8" s="30" t="s">
        <v>60</v>
      </c>
      <c r="DJ8" s="30" t="s">
        <v>79</v>
      </c>
      <c r="DK8" s="30" t="s">
        <v>30</v>
      </c>
      <c r="DL8" s="30" t="s">
        <v>48</v>
      </c>
      <c r="DM8" s="30" t="s">
        <v>70</v>
      </c>
      <c r="DN8" s="30" t="s">
        <v>60</v>
      </c>
      <c r="DO8" s="30" t="s">
        <v>42</v>
      </c>
      <c r="DP8" s="30" t="s">
        <v>25</v>
      </c>
      <c r="DQ8" s="30" t="s">
        <v>83</v>
      </c>
      <c r="DR8" s="30" t="s">
        <v>96</v>
      </c>
      <c r="DS8" s="30" t="s">
        <v>97</v>
      </c>
      <c r="DT8" s="30" t="s">
        <v>98</v>
      </c>
      <c r="DU8" s="30" t="s">
        <v>54</v>
      </c>
      <c r="DV8" s="30" t="s">
        <v>48</v>
      </c>
      <c r="DW8" s="30" t="s">
        <v>50</v>
      </c>
      <c r="DX8" s="171"/>
      <c r="DY8" s="170"/>
      <c r="DZ8" s="170"/>
      <c r="EA8" s="30" t="s">
        <v>101</v>
      </c>
      <c r="EB8" s="30" t="s">
        <v>102</v>
      </c>
      <c r="EC8" s="30" t="s">
        <v>104</v>
      </c>
      <c r="ED8" s="161"/>
      <c r="EE8" s="164"/>
      <c r="EF8" s="166"/>
      <c r="EG8" s="95" t="s">
        <v>105</v>
      </c>
      <c r="EH8" s="122" t="s">
        <v>37</v>
      </c>
      <c r="EI8" s="162"/>
      <c r="EJ8" s="162"/>
      <c r="EK8" s="111" t="s">
        <v>211</v>
      </c>
      <c r="EL8" s="111">
        <v>28</v>
      </c>
      <c r="EM8" s="111">
        <v>17</v>
      </c>
      <c r="EN8" s="111">
        <v>21</v>
      </c>
      <c r="EO8" s="112">
        <v>22</v>
      </c>
      <c r="EP8" s="148"/>
      <c r="EQ8" s="148"/>
    </row>
    <row r="9" spans="1:153" s="1" customFormat="1" ht="12.75" customHeight="1" x14ac:dyDescent="0.2">
      <c r="A9" s="55" t="s">
        <v>12</v>
      </c>
      <c r="B9" s="64"/>
      <c r="C9" s="56">
        <v>0</v>
      </c>
      <c r="D9" s="12">
        <f t="shared" ref="D9" si="0">SUM(D10:D13)</f>
        <v>0</v>
      </c>
      <c r="E9" s="12">
        <f t="shared" ref="E9:BR9" si="1">SUM(E10:E13)</f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0</v>
      </c>
      <c r="AA9" s="12">
        <f t="shared" ref="AA9" si="2">SUM(AA10:AA13)</f>
        <v>0</v>
      </c>
      <c r="AB9" s="12">
        <f t="shared" si="1"/>
        <v>0</v>
      </c>
      <c r="AC9" s="12">
        <f t="shared" si="1"/>
        <v>0</v>
      </c>
      <c r="AD9" s="12">
        <f t="shared" si="1"/>
        <v>0</v>
      </c>
      <c r="AE9" s="12">
        <f t="shared" si="1"/>
        <v>0</v>
      </c>
      <c r="AF9" s="12">
        <f t="shared" si="1"/>
        <v>0</v>
      </c>
      <c r="AG9" s="12">
        <f t="shared" si="1"/>
        <v>0</v>
      </c>
      <c r="AH9" s="12">
        <f t="shared" si="1"/>
        <v>0</v>
      </c>
      <c r="AI9" s="12">
        <f t="shared" ref="AI9" si="3">SUM(AI10:AI13)</f>
        <v>0</v>
      </c>
      <c r="AJ9" s="12">
        <f t="shared" si="1"/>
        <v>0</v>
      </c>
      <c r="AK9" s="12">
        <f t="shared" si="1"/>
        <v>0</v>
      </c>
      <c r="AL9" s="12">
        <f t="shared" si="1"/>
        <v>0</v>
      </c>
      <c r="AM9" s="12">
        <f t="shared" si="1"/>
        <v>0</v>
      </c>
      <c r="AN9" s="12">
        <f t="shared" si="1"/>
        <v>0</v>
      </c>
      <c r="AO9" s="12">
        <f t="shared" si="1"/>
        <v>0</v>
      </c>
      <c r="AP9" s="12">
        <f t="shared" si="1"/>
        <v>0</v>
      </c>
      <c r="AQ9" s="12">
        <f t="shared" si="1"/>
        <v>0</v>
      </c>
      <c r="AR9" s="12">
        <f t="shared" si="1"/>
        <v>0</v>
      </c>
      <c r="AS9" s="12">
        <f t="shared" si="1"/>
        <v>0</v>
      </c>
      <c r="AT9" s="12">
        <f t="shared" si="1"/>
        <v>0</v>
      </c>
      <c r="AU9" s="12">
        <f t="shared" si="1"/>
        <v>0</v>
      </c>
      <c r="AV9" s="12">
        <f t="shared" si="1"/>
        <v>0</v>
      </c>
      <c r="AW9" s="12">
        <f t="shared" si="1"/>
        <v>0</v>
      </c>
      <c r="AX9" s="12">
        <f t="shared" si="1"/>
        <v>0</v>
      </c>
      <c r="AY9" s="12">
        <f t="shared" si="1"/>
        <v>0</v>
      </c>
      <c r="AZ9" s="12">
        <f t="shared" si="1"/>
        <v>0</v>
      </c>
      <c r="BA9" s="12">
        <f t="shared" si="1"/>
        <v>0</v>
      </c>
      <c r="BB9" s="12">
        <f t="shared" si="1"/>
        <v>0</v>
      </c>
      <c r="BC9" s="12">
        <f t="shared" si="1"/>
        <v>0</v>
      </c>
      <c r="BD9" s="12">
        <f t="shared" si="1"/>
        <v>0</v>
      </c>
      <c r="BE9" s="12">
        <f t="shared" si="1"/>
        <v>0</v>
      </c>
      <c r="BF9" s="12">
        <f t="shared" si="1"/>
        <v>0</v>
      </c>
      <c r="BG9" s="12">
        <f t="shared" si="1"/>
        <v>0</v>
      </c>
      <c r="BH9" s="12">
        <f t="shared" si="1"/>
        <v>0</v>
      </c>
      <c r="BI9" s="12">
        <f t="shared" si="1"/>
        <v>0</v>
      </c>
      <c r="BJ9" s="12">
        <f t="shared" si="1"/>
        <v>0</v>
      </c>
      <c r="BK9" s="12">
        <f t="shared" si="1"/>
        <v>0</v>
      </c>
      <c r="BL9" s="12">
        <f t="shared" si="1"/>
        <v>0</v>
      </c>
      <c r="BM9" s="12">
        <f t="shared" si="1"/>
        <v>0</v>
      </c>
      <c r="BN9" s="12">
        <f t="shared" si="1"/>
        <v>0</v>
      </c>
      <c r="BO9" s="12">
        <f t="shared" si="1"/>
        <v>0</v>
      </c>
      <c r="BP9" s="12">
        <f t="shared" si="1"/>
        <v>0</v>
      </c>
      <c r="BQ9" s="12">
        <f t="shared" si="1"/>
        <v>0</v>
      </c>
      <c r="BR9" s="12">
        <f t="shared" si="1"/>
        <v>0</v>
      </c>
      <c r="BS9" s="12">
        <f t="shared" ref="BS9:CI9" si="4">SUM(BS10:BS13)</f>
        <v>0</v>
      </c>
      <c r="BT9" s="12">
        <f t="shared" si="4"/>
        <v>0</v>
      </c>
      <c r="BU9" s="12">
        <f t="shared" si="4"/>
        <v>0</v>
      </c>
      <c r="BV9" s="12">
        <f t="shared" si="4"/>
        <v>0</v>
      </c>
      <c r="BW9" s="12">
        <f t="shared" si="4"/>
        <v>0</v>
      </c>
      <c r="BX9" s="12">
        <f t="shared" si="4"/>
        <v>0</v>
      </c>
      <c r="BY9" s="12">
        <f t="shared" si="4"/>
        <v>0</v>
      </c>
      <c r="BZ9" s="12">
        <f t="shared" si="4"/>
        <v>0</v>
      </c>
      <c r="CA9" s="12">
        <f t="shared" si="4"/>
        <v>0</v>
      </c>
      <c r="CB9" s="12">
        <f t="shared" si="4"/>
        <v>0</v>
      </c>
      <c r="CC9" s="12">
        <f t="shared" si="4"/>
        <v>0</v>
      </c>
      <c r="CD9" s="12">
        <f t="shared" si="4"/>
        <v>0</v>
      </c>
      <c r="CE9" s="12">
        <f t="shared" si="4"/>
        <v>0</v>
      </c>
      <c r="CF9" s="12">
        <f t="shared" si="4"/>
        <v>0</v>
      </c>
      <c r="CG9" s="12">
        <f t="shared" si="4"/>
        <v>0</v>
      </c>
      <c r="CH9" s="12">
        <f t="shared" si="4"/>
        <v>0</v>
      </c>
      <c r="CI9" s="12">
        <f t="shared" si="4"/>
        <v>0</v>
      </c>
      <c r="CJ9" s="82" t="s">
        <v>12</v>
      </c>
      <c r="CK9" s="83"/>
      <c r="CL9" s="56">
        <f>SUM(CL10:CL11)</f>
        <v>0</v>
      </c>
      <c r="CM9" s="12">
        <f t="shared" ref="CM9:CQ10" si="5">SUM(CM10:CM12)</f>
        <v>0</v>
      </c>
      <c r="CN9" s="12">
        <f t="shared" si="5"/>
        <v>0</v>
      </c>
      <c r="CO9" s="12">
        <f t="shared" si="5"/>
        <v>0</v>
      </c>
      <c r="CP9" s="12">
        <f t="shared" si="5"/>
        <v>0</v>
      </c>
      <c r="CQ9" s="12">
        <f t="shared" si="5"/>
        <v>0</v>
      </c>
      <c r="CR9" s="82" t="s">
        <v>12</v>
      </c>
      <c r="CS9" s="83"/>
      <c r="CT9" s="56">
        <f>SUM(CT10:CT13)</f>
        <v>0</v>
      </c>
      <c r="CU9" s="12">
        <f>SUM(CU10:CU12)</f>
        <v>0</v>
      </c>
      <c r="CV9" s="12">
        <f t="shared" ref="CV9:CZ9" si="6">SUM(CV10:CV12)</f>
        <v>0</v>
      </c>
      <c r="CW9" s="12">
        <f t="shared" si="6"/>
        <v>0</v>
      </c>
      <c r="CX9" s="12">
        <f t="shared" si="6"/>
        <v>0</v>
      </c>
      <c r="CY9" s="12">
        <f t="shared" si="6"/>
        <v>0</v>
      </c>
      <c r="CZ9" s="12">
        <f t="shared" si="6"/>
        <v>0</v>
      </c>
      <c r="DA9" s="82" t="s">
        <v>12</v>
      </c>
      <c r="DB9" s="83"/>
      <c r="DC9" s="56">
        <f>SUM(DC10:DC13)</f>
        <v>0</v>
      </c>
      <c r="DD9" s="12">
        <f>SUM(DD10:DD12)</f>
        <v>0</v>
      </c>
      <c r="DE9" s="12">
        <f t="shared" ref="DE9:DW9" si="7">SUM(DE10:DE12)</f>
        <v>0</v>
      </c>
      <c r="DF9" s="12">
        <f t="shared" si="7"/>
        <v>0</v>
      </c>
      <c r="DG9" s="12">
        <f t="shared" si="7"/>
        <v>0</v>
      </c>
      <c r="DH9" s="12">
        <f t="shared" si="7"/>
        <v>0</v>
      </c>
      <c r="DI9" s="12">
        <f t="shared" si="7"/>
        <v>0</v>
      </c>
      <c r="DJ9" s="12">
        <f t="shared" si="7"/>
        <v>0</v>
      </c>
      <c r="DK9" s="12">
        <f t="shared" si="7"/>
        <v>0</v>
      </c>
      <c r="DL9" s="12">
        <f t="shared" si="7"/>
        <v>0</v>
      </c>
      <c r="DM9" s="12">
        <f t="shared" si="7"/>
        <v>0</v>
      </c>
      <c r="DN9" s="12">
        <f t="shared" si="7"/>
        <v>0</v>
      </c>
      <c r="DO9" s="12">
        <f t="shared" si="7"/>
        <v>0</v>
      </c>
      <c r="DP9" s="12">
        <f t="shared" si="7"/>
        <v>0</v>
      </c>
      <c r="DQ9" s="12">
        <f t="shared" si="7"/>
        <v>0</v>
      </c>
      <c r="DR9" s="12">
        <f t="shared" si="7"/>
        <v>0</v>
      </c>
      <c r="DS9" s="12">
        <f t="shared" si="7"/>
        <v>0</v>
      </c>
      <c r="DT9" s="12">
        <f t="shared" si="7"/>
        <v>0</v>
      </c>
      <c r="DU9" s="12">
        <f t="shared" si="7"/>
        <v>0</v>
      </c>
      <c r="DV9" s="12">
        <f t="shared" si="7"/>
        <v>0</v>
      </c>
      <c r="DW9" s="12">
        <f t="shared" si="7"/>
        <v>0</v>
      </c>
      <c r="DX9" s="82" t="s">
        <v>12</v>
      </c>
      <c r="DY9" s="83"/>
      <c r="DZ9" s="56">
        <f>SUM(DZ10:DZ11)</f>
        <v>0</v>
      </c>
      <c r="EA9" s="12">
        <f>SUM(EA10:EA12)</f>
        <v>0</v>
      </c>
      <c r="EB9" s="12">
        <f t="shared" ref="EB9:EC9" si="8">SUM(EB10:EB12)</f>
        <v>0</v>
      </c>
      <c r="EC9" s="12">
        <f t="shared" si="8"/>
        <v>0</v>
      </c>
      <c r="ED9" s="82" t="s">
        <v>12</v>
      </c>
      <c r="EE9" s="83"/>
      <c r="EF9" s="56">
        <f>SUM(EF10:EF13)</f>
        <v>0</v>
      </c>
      <c r="EG9" s="12">
        <f>SUM(EG10:EG12)</f>
        <v>0</v>
      </c>
      <c r="EH9" s="98">
        <f>SUM(EH10:EH12)</f>
        <v>0</v>
      </c>
      <c r="EI9" s="124" t="s">
        <v>12</v>
      </c>
      <c r="EJ9" s="125"/>
      <c r="EK9" s="113">
        <f>SUM(EK10:EK13)</f>
        <v>158598.64799999999</v>
      </c>
      <c r="EL9" s="113">
        <f>SUM(EL10:EL13)</f>
        <v>118862.556</v>
      </c>
      <c r="EM9" s="113">
        <f>SUM(EM10:EM13)</f>
        <v>142731.70799999998</v>
      </c>
      <c r="EN9" s="113">
        <f>SUM(EN10:EN13)</f>
        <v>69553.104000000007</v>
      </c>
      <c r="EO9" s="113">
        <f>SUM(EO10:EO13)</f>
        <v>112501.212</v>
      </c>
      <c r="EP9" s="108"/>
      <c r="EQ9" s="108"/>
      <c r="ER9" s="154"/>
    </row>
    <row r="10" spans="1:153" s="1" customFormat="1" ht="12.75" customHeight="1" x14ac:dyDescent="0.2">
      <c r="A10" s="54" t="s">
        <v>20</v>
      </c>
      <c r="B10" s="64" t="s">
        <v>125</v>
      </c>
      <c r="C10" s="53">
        <v>0</v>
      </c>
      <c r="D10" s="10">
        <f>$C$10*12*D39</f>
        <v>0</v>
      </c>
      <c r="E10" s="10">
        <f t="shared" ref="E10:BR10" si="9">$C$10*12*E39</f>
        <v>0</v>
      </c>
      <c r="F10" s="10">
        <f t="shared" si="9"/>
        <v>0</v>
      </c>
      <c r="G10" s="10">
        <f t="shared" si="9"/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 t="shared" si="9"/>
        <v>0</v>
      </c>
      <c r="N10" s="10">
        <f t="shared" si="9"/>
        <v>0</v>
      </c>
      <c r="O10" s="10">
        <f t="shared" si="9"/>
        <v>0</v>
      </c>
      <c r="P10" s="10">
        <f t="shared" si="9"/>
        <v>0</v>
      </c>
      <c r="Q10" s="10">
        <f t="shared" si="9"/>
        <v>0</v>
      </c>
      <c r="R10" s="10">
        <f t="shared" si="9"/>
        <v>0</v>
      </c>
      <c r="S10" s="10">
        <f t="shared" si="9"/>
        <v>0</v>
      </c>
      <c r="T10" s="10">
        <f t="shared" si="9"/>
        <v>0</v>
      </c>
      <c r="U10" s="10">
        <f t="shared" si="9"/>
        <v>0</v>
      </c>
      <c r="V10" s="10">
        <f t="shared" si="9"/>
        <v>0</v>
      </c>
      <c r="W10" s="10">
        <f t="shared" si="9"/>
        <v>0</v>
      </c>
      <c r="X10" s="10">
        <f t="shared" si="9"/>
        <v>0</v>
      </c>
      <c r="Y10" s="10">
        <f t="shared" si="9"/>
        <v>0</v>
      </c>
      <c r="Z10" s="10">
        <f t="shared" si="9"/>
        <v>0</v>
      </c>
      <c r="AA10" s="10">
        <f t="shared" ref="AA10" si="10">$C$10*12*AA39</f>
        <v>0</v>
      </c>
      <c r="AB10" s="10">
        <f t="shared" si="9"/>
        <v>0</v>
      </c>
      <c r="AC10" s="10">
        <f t="shared" si="9"/>
        <v>0</v>
      </c>
      <c r="AD10" s="10">
        <f t="shared" si="9"/>
        <v>0</v>
      </c>
      <c r="AE10" s="10">
        <f t="shared" si="9"/>
        <v>0</v>
      </c>
      <c r="AF10" s="10">
        <f t="shared" si="9"/>
        <v>0</v>
      </c>
      <c r="AG10" s="10">
        <f t="shared" si="9"/>
        <v>0</v>
      </c>
      <c r="AH10" s="10">
        <f t="shared" si="9"/>
        <v>0</v>
      </c>
      <c r="AI10" s="10">
        <f t="shared" ref="AI10" si="11">$C$10*12*AI39</f>
        <v>0</v>
      </c>
      <c r="AJ10" s="10">
        <f t="shared" si="9"/>
        <v>0</v>
      </c>
      <c r="AK10" s="10">
        <f t="shared" si="9"/>
        <v>0</v>
      </c>
      <c r="AL10" s="10">
        <f t="shared" si="9"/>
        <v>0</v>
      </c>
      <c r="AM10" s="10">
        <f t="shared" si="9"/>
        <v>0</v>
      </c>
      <c r="AN10" s="10">
        <f t="shared" si="9"/>
        <v>0</v>
      </c>
      <c r="AO10" s="10">
        <f t="shared" si="9"/>
        <v>0</v>
      </c>
      <c r="AP10" s="10">
        <f t="shared" si="9"/>
        <v>0</v>
      </c>
      <c r="AQ10" s="10">
        <f t="shared" si="9"/>
        <v>0</v>
      </c>
      <c r="AR10" s="10">
        <f t="shared" si="9"/>
        <v>0</v>
      </c>
      <c r="AS10" s="10">
        <f t="shared" si="9"/>
        <v>0</v>
      </c>
      <c r="AT10" s="10">
        <f t="shared" si="9"/>
        <v>0</v>
      </c>
      <c r="AU10" s="10">
        <f t="shared" si="9"/>
        <v>0</v>
      </c>
      <c r="AV10" s="10">
        <f t="shared" si="9"/>
        <v>0</v>
      </c>
      <c r="AW10" s="10">
        <f t="shared" si="9"/>
        <v>0</v>
      </c>
      <c r="AX10" s="10">
        <f t="shared" si="9"/>
        <v>0</v>
      </c>
      <c r="AY10" s="10">
        <f t="shared" si="9"/>
        <v>0</v>
      </c>
      <c r="AZ10" s="10">
        <f t="shared" si="9"/>
        <v>0</v>
      </c>
      <c r="BA10" s="10">
        <f t="shared" si="9"/>
        <v>0</v>
      </c>
      <c r="BB10" s="10">
        <f t="shared" si="9"/>
        <v>0</v>
      </c>
      <c r="BC10" s="10">
        <f t="shared" si="9"/>
        <v>0</v>
      </c>
      <c r="BD10" s="10">
        <f t="shared" si="9"/>
        <v>0</v>
      </c>
      <c r="BE10" s="10">
        <f t="shared" si="9"/>
        <v>0</v>
      </c>
      <c r="BF10" s="10">
        <f t="shared" si="9"/>
        <v>0</v>
      </c>
      <c r="BG10" s="10">
        <f t="shared" si="9"/>
        <v>0</v>
      </c>
      <c r="BH10" s="10">
        <f t="shared" si="9"/>
        <v>0</v>
      </c>
      <c r="BI10" s="10">
        <f t="shared" si="9"/>
        <v>0</v>
      </c>
      <c r="BJ10" s="10">
        <f t="shared" si="9"/>
        <v>0</v>
      </c>
      <c r="BK10" s="10">
        <f t="shared" si="9"/>
        <v>0</v>
      </c>
      <c r="BL10" s="10">
        <f t="shared" si="9"/>
        <v>0</v>
      </c>
      <c r="BM10" s="10">
        <f t="shared" si="9"/>
        <v>0</v>
      </c>
      <c r="BN10" s="10">
        <f t="shared" si="9"/>
        <v>0</v>
      </c>
      <c r="BO10" s="10">
        <f t="shared" si="9"/>
        <v>0</v>
      </c>
      <c r="BP10" s="10">
        <f t="shared" si="9"/>
        <v>0</v>
      </c>
      <c r="BQ10" s="10">
        <f t="shared" si="9"/>
        <v>0</v>
      </c>
      <c r="BR10" s="10">
        <f t="shared" si="9"/>
        <v>0</v>
      </c>
      <c r="BS10" s="10">
        <f t="shared" ref="BS10:CI10" si="12">$C$10*12*BS39</f>
        <v>0</v>
      </c>
      <c r="BT10" s="10">
        <f t="shared" si="12"/>
        <v>0</v>
      </c>
      <c r="BU10" s="10">
        <f t="shared" si="12"/>
        <v>0</v>
      </c>
      <c r="BV10" s="10">
        <f t="shared" si="12"/>
        <v>0</v>
      </c>
      <c r="BW10" s="10">
        <f t="shared" si="12"/>
        <v>0</v>
      </c>
      <c r="BX10" s="10">
        <f t="shared" si="12"/>
        <v>0</v>
      </c>
      <c r="BY10" s="10">
        <f t="shared" si="12"/>
        <v>0</v>
      </c>
      <c r="BZ10" s="10">
        <f t="shared" si="12"/>
        <v>0</v>
      </c>
      <c r="CA10" s="10">
        <f t="shared" si="12"/>
        <v>0</v>
      </c>
      <c r="CB10" s="10">
        <f t="shared" si="12"/>
        <v>0</v>
      </c>
      <c r="CC10" s="10">
        <f t="shared" si="12"/>
        <v>0</v>
      </c>
      <c r="CD10" s="10">
        <f t="shared" si="12"/>
        <v>0</v>
      </c>
      <c r="CE10" s="10">
        <f t="shared" si="12"/>
        <v>0</v>
      </c>
      <c r="CF10" s="10">
        <f t="shared" si="12"/>
        <v>0</v>
      </c>
      <c r="CG10" s="10">
        <f t="shared" si="12"/>
        <v>0</v>
      </c>
      <c r="CH10" s="10">
        <f t="shared" si="12"/>
        <v>0</v>
      </c>
      <c r="CI10" s="10">
        <f t="shared" si="12"/>
        <v>0</v>
      </c>
      <c r="CJ10" s="84" t="s">
        <v>20</v>
      </c>
      <c r="CK10" s="53" t="s">
        <v>133</v>
      </c>
      <c r="CL10" s="53">
        <v>0</v>
      </c>
      <c r="CM10" s="12">
        <f t="shared" si="5"/>
        <v>0</v>
      </c>
      <c r="CN10" s="12">
        <f t="shared" si="5"/>
        <v>0</v>
      </c>
      <c r="CO10" s="12">
        <f t="shared" si="5"/>
        <v>0</v>
      </c>
      <c r="CP10" s="12">
        <f t="shared" si="5"/>
        <v>0</v>
      </c>
      <c r="CQ10" s="12">
        <f t="shared" si="5"/>
        <v>0</v>
      </c>
      <c r="CR10" s="84" t="s">
        <v>20</v>
      </c>
      <c r="CS10" s="53" t="s">
        <v>145</v>
      </c>
      <c r="CT10" s="53">
        <v>0</v>
      </c>
      <c r="CU10" s="12">
        <f>SUM(CU11:CU13)</f>
        <v>0</v>
      </c>
      <c r="CV10" s="12">
        <f t="shared" ref="CV10:CZ10" si="13">SUM(CV11:CV13)</f>
        <v>0</v>
      </c>
      <c r="CW10" s="12">
        <f t="shared" si="13"/>
        <v>0</v>
      </c>
      <c r="CX10" s="12">
        <f t="shared" si="13"/>
        <v>0</v>
      </c>
      <c r="CY10" s="12">
        <f t="shared" si="13"/>
        <v>0</v>
      </c>
      <c r="CZ10" s="12">
        <f t="shared" si="13"/>
        <v>0</v>
      </c>
      <c r="DA10" s="85" t="s">
        <v>20</v>
      </c>
      <c r="DB10" s="53" t="s">
        <v>125</v>
      </c>
      <c r="DC10" s="53">
        <v>0</v>
      </c>
      <c r="DD10" s="12">
        <f>SUM(DD11:DD13)</f>
        <v>0</v>
      </c>
      <c r="DE10" s="12">
        <f t="shared" ref="DE10:DW10" si="14">SUM(DE11:DE13)</f>
        <v>0</v>
      </c>
      <c r="DF10" s="12">
        <f t="shared" si="14"/>
        <v>0</v>
      </c>
      <c r="DG10" s="12">
        <f t="shared" si="14"/>
        <v>0</v>
      </c>
      <c r="DH10" s="12">
        <f t="shared" si="14"/>
        <v>0</v>
      </c>
      <c r="DI10" s="12">
        <f t="shared" si="14"/>
        <v>0</v>
      </c>
      <c r="DJ10" s="12">
        <f t="shared" si="14"/>
        <v>0</v>
      </c>
      <c r="DK10" s="12">
        <f t="shared" si="14"/>
        <v>0</v>
      </c>
      <c r="DL10" s="12">
        <f t="shared" si="14"/>
        <v>0</v>
      </c>
      <c r="DM10" s="12">
        <f t="shared" si="14"/>
        <v>0</v>
      </c>
      <c r="DN10" s="12">
        <f t="shared" si="14"/>
        <v>0</v>
      </c>
      <c r="DO10" s="12">
        <f t="shared" si="14"/>
        <v>0</v>
      </c>
      <c r="DP10" s="12">
        <f t="shared" si="14"/>
        <v>0</v>
      </c>
      <c r="DQ10" s="12">
        <f t="shared" si="14"/>
        <v>0</v>
      </c>
      <c r="DR10" s="12">
        <f t="shared" si="14"/>
        <v>0</v>
      </c>
      <c r="DS10" s="12">
        <f t="shared" si="14"/>
        <v>0</v>
      </c>
      <c r="DT10" s="12">
        <f t="shared" si="14"/>
        <v>0</v>
      </c>
      <c r="DU10" s="12">
        <f t="shared" si="14"/>
        <v>0</v>
      </c>
      <c r="DV10" s="12">
        <f t="shared" si="14"/>
        <v>0</v>
      </c>
      <c r="DW10" s="12">
        <f t="shared" si="14"/>
        <v>0</v>
      </c>
      <c r="DX10" s="84" t="s">
        <v>20</v>
      </c>
      <c r="DY10" s="53" t="s">
        <v>133</v>
      </c>
      <c r="DZ10" s="53">
        <v>0</v>
      </c>
      <c r="EA10" s="12">
        <f>SUM(EA11:EA13)</f>
        <v>0</v>
      </c>
      <c r="EB10" s="12">
        <f t="shared" ref="EB10:EC10" si="15">SUM(EB11:EB13)</f>
        <v>0</v>
      </c>
      <c r="EC10" s="12">
        <f t="shared" si="15"/>
        <v>0</v>
      </c>
      <c r="ED10" s="84" t="s">
        <v>20</v>
      </c>
      <c r="EE10" s="53" t="s">
        <v>145</v>
      </c>
      <c r="EF10" s="53">
        <v>0</v>
      </c>
      <c r="EG10" s="12">
        <f>SUM(EG11:EG13)</f>
        <v>0</v>
      </c>
      <c r="EH10" s="98">
        <f>SUM(EH11:EH13)</f>
        <v>0</v>
      </c>
      <c r="EI10" s="126" t="s">
        <v>177</v>
      </c>
      <c r="EJ10" s="127" t="s">
        <v>178</v>
      </c>
      <c r="EK10" s="114">
        <f>1.88*12*EK39</f>
        <v>84947.423999999999</v>
      </c>
      <c r="EL10" s="115">
        <f>1.14*12*EL39</f>
        <v>53985.383999999998</v>
      </c>
      <c r="EM10" s="114">
        <f>(2.14+0.64)*12*EM39</f>
        <v>84604.296000000002</v>
      </c>
      <c r="EN10" s="115">
        <f>1.14*12*EN39</f>
        <v>31589.855999999996</v>
      </c>
      <c r="EO10" s="115">
        <f>1.14*12*EO39</f>
        <v>51096.167999999998</v>
      </c>
      <c r="EP10" s="149"/>
      <c r="EQ10" s="149"/>
      <c r="ER10" s="154"/>
    </row>
    <row r="11" spans="1:153" s="1" customFormat="1" ht="27.75" customHeight="1" x14ac:dyDescent="0.2">
      <c r="A11" s="54" t="s">
        <v>106</v>
      </c>
      <c r="B11" s="64" t="s">
        <v>126</v>
      </c>
      <c r="C11" s="53">
        <v>0</v>
      </c>
      <c r="D11" s="10">
        <f>$C$11*12*D39</f>
        <v>0</v>
      </c>
      <c r="E11" s="10">
        <f t="shared" ref="E11:BR11" si="16">$C$11*12*E39</f>
        <v>0</v>
      </c>
      <c r="F11" s="10">
        <f t="shared" si="16"/>
        <v>0</v>
      </c>
      <c r="G11" s="10">
        <f t="shared" si="16"/>
        <v>0</v>
      </c>
      <c r="H11" s="10">
        <f t="shared" si="16"/>
        <v>0</v>
      </c>
      <c r="I11" s="10">
        <f t="shared" si="16"/>
        <v>0</v>
      </c>
      <c r="J11" s="10">
        <f t="shared" si="16"/>
        <v>0</v>
      </c>
      <c r="K11" s="10">
        <f t="shared" si="16"/>
        <v>0</v>
      </c>
      <c r="L11" s="10">
        <f t="shared" si="16"/>
        <v>0</v>
      </c>
      <c r="M11" s="10">
        <f t="shared" si="16"/>
        <v>0</v>
      </c>
      <c r="N11" s="10">
        <f t="shared" si="16"/>
        <v>0</v>
      </c>
      <c r="O11" s="10">
        <f t="shared" si="16"/>
        <v>0</v>
      </c>
      <c r="P11" s="10">
        <f t="shared" si="16"/>
        <v>0</v>
      </c>
      <c r="Q11" s="10">
        <f t="shared" si="16"/>
        <v>0</v>
      </c>
      <c r="R11" s="10">
        <f t="shared" si="16"/>
        <v>0</v>
      </c>
      <c r="S11" s="10">
        <f t="shared" si="16"/>
        <v>0</v>
      </c>
      <c r="T11" s="10">
        <f t="shared" si="16"/>
        <v>0</v>
      </c>
      <c r="U11" s="10">
        <f t="shared" si="16"/>
        <v>0</v>
      </c>
      <c r="V11" s="10">
        <f t="shared" si="16"/>
        <v>0</v>
      </c>
      <c r="W11" s="10">
        <f t="shared" si="16"/>
        <v>0</v>
      </c>
      <c r="X11" s="10">
        <f t="shared" si="16"/>
        <v>0</v>
      </c>
      <c r="Y11" s="10">
        <f t="shared" si="16"/>
        <v>0</v>
      </c>
      <c r="Z11" s="10">
        <f t="shared" si="16"/>
        <v>0</v>
      </c>
      <c r="AA11" s="10">
        <f t="shared" ref="AA11" si="17">$C$11*12*AA39</f>
        <v>0</v>
      </c>
      <c r="AB11" s="10">
        <f t="shared" si="16"/>
        <v>0</v>
      </c>
      <c r="AC11" s="10">
        <f t="shared" si="16"/>
        <v>0</v>
      </c>
      <c r="AD11" s="10">
        <f t="shared" si="16"/>
        <v>0</v>
      </c>
      <c r="AE11" s="10">
        <f t="shared" si="16"/>
        <v>0</v>
      </c>
      <c r="AF11" s="10">
        <f t="shared" si="16"/>
        <v>0</v>
      </c>
      <c r="AG11" s="10">
        <f t="shared" si="16"/>
        <v>0</v>
      </c>
      <c r="AH11" s="10">
        <f t="shared" si="16"/>
        <v>0</v>
      </c>
      <c r="AI11" s="10">
        <f t="shared" ref="AI11" si="18">$C$11*12*AI39</f>
        <v>0</v>
      </c>
      <c r="AJ11" s="10">
        <f t="shared" si="16"/>
        <v>0</v>
      </c>
      <c r="AK11" s="10">
        <f t="shared" si="16"/>
        <v>0</v>
      </c>
      <c r="AL11" s="10">
        <f t="shared" si="16"/>
        <v>0</v>
      </c>
      <c r="AM11" s="10">
        <f t="shared" si="16"/>
        <v>0</v>
      </c>
      <c r="AN11" s="10">
        <f t="shared" si="16"/>
        <v>0</v>
      </c>
      <c r="AO11" s="10">
        <f t="shared" si="16"/>
        <v>0</v>
      </c>
      <c r="AP11" s="10">
        <f t="shared" si="16"/>
        <v>0</v>
      </c>
      <c r="AQ11" s="10">
        <f t="shared" si="16"/>
        <v>0</v>
      </c>
      <c r="AR11" s="10">
        <f t="shared" si="16"/>
        <v>0</v>
      </c>
      <c r="AS11" s="10">
        <f t="shared" si="16"/>
        <v>0</v>
      </c>
      <c r="AT11" s="10">
        <f t="shared" si="16"/>
        <v>0</v>
      </c>
      <c r="AU11" s="10">
        <f t="shared" si="16"/>
        <v>0</v>
      </c>
      <c r="AV11" s="10">
        <f t="shared" si="16"/>
        <v>0</v>
      </c>
      <c r="AW11" s="10">
        <f t="shared" si="16"/>
        <v>0</v>
      </c>
      <c r="AX11" s="10">
        <f t="shared" si="16"/>
        <v>0</v>
      </c>
      <c r="AY11" s="10">
        <f t="shared" si="16"/>
        <v>0</v>
      </c>
      <c r="AZ11" s="10">
        <f t="shared" si="16"/>
        <v>0</v>
      </c>
      <c r="BA11" s="10">
        <f t="shared" si="16"/>
        <v>0</v>
      </c>
      <c r="BB11" s="10">
        <f t="shared" si="16"/>
        <v>0</v>
      </c>
      <c r="BC11" s="10">
        <f t="shared" si="16"/>
        <v>0</v>
      </c>
      <c r="BD11" s="10">
        <f t="shared" si="16"/>
        <v>0</v>
      </c>
      <c r="BE11" s="10">
        <f t="shared" si="16"/>
        <v>0</v>
      </c>
      <c r="BF11" s="10">
        <f t="shared" si="16"/>
        <v>0</v>
      </c>
      <c r="BG11" s="10">
        <f t="shared" si="16"/>
        <v>0</v>
      </c>
      <c r="BH11" s="10">
        <f t="shared" si="16"/>
        <v>0</v>
      </c>
      <c r="BI11" s="10">
        <f t="shared" si="16"/>
        <v>0</v>
      </c>
      <c r="BJ11" s="10">
        <f t="shared" si="16"/>
        <v>0</v>
      </c>
      <c r="BK11" s="10">
        <f t="shared" si="16"/>
        <v>0</v>
      </c>
      <c r="BL11" s="10">
        <f t="shared" si="16"/>
        <v>0</v>
      </c>
      <c r="BM11" s="10">
        <f t="shared" si="16"/>
        <v>0</v>
      </c>
      <c r="BN11" s="10">
        <f t="shared" si="16"/>
        <v>0</v>
      </c>
      <c r="BO11" s="10">
        <f t="shared" si="16"/>
        <v>0</v>
      </c>
      <c r="BP11" s="10">
        <f t="shared" si="16"/>
        <v>0</v>
      </c>
      <c r="BQ11" s="10">
        <f t="shared" si="16"/>
        <v>0</v>
      </c>
      <c r="BR11" s="10">
        <f t="shared" si="16"/>
        <v>0</v>
      </c>
      <c r="BS11" s="10">
        <f t="shared" ref="BS11:CI11" si="19">$C$11*12*BS39</f>
        <v>0</v>
      </c>
      <c r="BT11" s="10">
        <f t="shared" si="19"/>
        <v>0</v>
      </c>
      <c r="BU11" s="10">
        <f t="shared" si="19"/>
        <v>0</v>
      </c>
      <c r="BV11" s="10">
        <f t="shared" si="19"/>
        <v>0</v>
      </c>
      <c r="BW11" s="10">
        <f t="shared" si="19"/>
        <v>0</v>
      </c>
      <c r="BX11" s="10">
        <f t="shared" si="19"/>
        <v>0</v>
      </c>
      <c r="BY11" s="10">
        <f t="shared" si="19"/>
        <v>0</v>
      </c>
      <c r="BZ11" s="10">
        <f t="shared" si="19"/>
        <v>0</v>
      </c>
      <c r="CA11" s="10">
        <f t="shared" si="19"/>
        <v>0</v>
      </c>
      <c r="CB11" s="10">
        <f t="shared" si="19"/>
        <v>0</v>
      </c>
      <c r="CC11" s="10">
        <f t="shared" si="19"/>
        <v>0</v>
      </c>
      <c r="CD11" s="10">
        <f t="shared" si="19"/>
        <v>0</v>
      </c>
      <c r="CE11" s="10">
        <f t="shared" si="19"/>
        <v>0</v>
      </c>
      <c r="CF11" s="10">
        <f t="shared" si="19"/>
        <v>0</v>
      </c>
      <c r="CG11" s="10">
        <f t="shared" si="19"/>
        <v>0</v>
      </c>
      <c r="CH11" s="10">
        <f t="shared" si="19"/>
        <v>0</v>
      </c>
      <c r="CI11" s="10">
        <f t="shared" si="19"/>
        <v>0</v>
      </c>
      <c r="CJ11" s="85" t="s">
        <v>106</v>
      </c>
      <c r="CK11" s="53" t="s">
        <v>134</v>
      </c>
      <c r="CL11" s="53">
        <v>0</v>
      </c>
      <c r="CM11" s="10">
        <f>$CL$11*12*CM39</f>
        <v>0</v>
      </c>
      <c r="CN11" s="10">
        <f>$CL$11*12*CN39</f>
        <v>0</v>
      </c>
      <c r="CO11" s="10">
        <f>$CL$11*12*CO39</f>
        <v>0</v>
      </c>
      <c r="CP11" s="10">
        <f>$CL$11*12*CP39</f>
        <v>0</v>
      </c>
      <c r="CQ11" s="10">
        <f>$CL$11*12*CQ39</f>
        <v>0</v>
      </c>
      <c r="CR11" s="85" t="s">
        <v>106</v>
      </c>
      <c r="CS11" s="53" t="s">
        <v>145</v>
      </c>
      <c r="CT11" s="53">
        <v>0</v>
      </c>
      <c r="CU11" s="10">
        <f>$CL$11*12*CU39</f>
        <v>0</v>
      </c>
      <c r="CV11" s="10">
        <f t="shared" ref="CV11:CZ11" si="20">$CL$11*12*CV39</f>
        <v>0</v>
      </c>
      <c r="CW11" s="10">
        <f t="shared" si="20"/>
        <v>0</v>
      </c>
      <c r="CX11" s="10">
        <f t="shared" si="20"/>
        <v>0</v>
      </c>
      <c r="CY11" s="10">
        <f t="shared" si="20"/>
        <v>0</v>
      </c>
      <c r="CZ11" s="10">
        <f t="shared" si="20"/>
        <v>0</v>
      </c>
      <c r="DA11" s="85" t="s">
        <v>106</v>
      </c>
      <c r="DB11" s="53" t="s">
        <v>126</v>
      </c>
      <c r="DC11" s="53">
        <v>0</v>
      </c>
      <c r="DD11" s="10">
        <f>$CL$11*12*DD39</f>
        <v>0</v>
      </c>
      <c r="DE11" s="10">
        <f t="shared" ref="DE11:DW11" si="21">$CL$11*12*DE39</f>
        <v>0</v>
      </c>
      <c r="DF11" s="10">
        <f t="shared" si="21"/>
        <v>0</v>
      </c>
      <c r="DG11" s="10">
        <f t="shared" si="21"/>
        <v>0</v>
      </c>
      <c r="DH11" s="10">
        <f t="shared" si="21"/>
        <v>0</v>
      </c>
      <c r="DI11" s="10">
        <f t="shared" si="21"/>
        <v>0</v>
      </c>
      <c r="DJ11" s="10">
        <f t="shared" si="21"/>
        <v>0</v>
      </c>
      <c r="DK11" s="10">
        <f t="shared" si="21"/>
        <v>0</v>
      </c>
      <c r="DL11" s="10">
        <f t="shared" si="21"/>
        <v>0</v>
      </c>
      <c r="DM11" s="10">
        <f t="shared" si="21"/>
        <v>0</v>
      </c>
      <c r="DN11" s="10">
        <f t="shared" si="21"/>
        <v>0</v>
      </c>
      <c r="DO11" s="10">
        <f t="shared" si="21"/>
        <v>0</v>
      </c>
      <c r="DP11" s="10">
        <f t="shared" si="21"/>
        <v>0</v>
      </c>
      <c r="DQ11" s="10">
        <f t="shared" si="21"/>
        <v>0</v>
      </c>
      <c r="DR11" s="10">
        <f t="shared" si="21"/>
        <v>0</v>
      </c>
      <c r="DS11" s="10">
        <f t="shared" si="21"/>
        <v>0</v>
      </c>
      <c r="DT11" s="10">
        <f t="shared" si="21"/>
        <v>0</v>
      </c>
      <c r="DU11" s="10">
        <f t="shared" si="21"/>
        <v>0</v>
      </c>
      <c r="DV11" s="10">
        <f t="shared" si="21"/>
        <v>0</v>
      </c>
      <c r="DW11" s="10">
        <f t="shared" si="21"/>
        <v>0</v>
      </c>
      <c r="DX11" s="85" t="s">
        <v>106</v>
      </c>
      <c r="DY11" s="53" t="s">
        <v>134</v>
      </c>
      <c r="DZ11" s="53">
        <v>0</v>
      </c>
      <c r="EA11" s="10">
        <f>$CL$11*12*EA39</f>
        <v>0</v>
      </c>
      <c r="EB11" s="10">
        <f t="shared" ref="EB11:EC11" si="22">$CL$11*12*EB39</f>
        <v>0</v>
      </c>
      <c r="EC11" s="10">
        <f t="shared" si="22"/>
        <v>0</v>
      </c>
      <c r="ED11" s="85" t="s">
        <v>106</v>
      </c>
      <c r="EE11" s="53" t="s">
        <v>145</v>
      </c>
      <c r="EF11" s="53">
        <v>0</v>
      </c>
      <c r="EG11" s="10">
        <f>$CL$11*12*EG39</f>
        <v>0</v>
      </c>
      <c r="EH11" s="99">
        <f>$CL$11*12*EH39</f>
        <v>0</v>
      </c>
      <c r="EI11" s="126" t="s">
        <v>179</v>
      </c>
      <c r="EJ11" s="127" t="s">
        <v>125</v>
      </c>
      <c r="EK11" s="114">
        <f>1.6*12*EK39</f>
        <v>72295.680000000008</v>
      </c>
      <c r="EL11" s="115">
        <f>1.34*12*EL39</f>
        <v>63456.504000000008</v>
      </c>
      <c r="EM11" s="114">
        <f>(1.49+0.39)*12*EM39</f>
        <v>57214.415999999997</v>
      </c>
      <c r="EN11" s="115">
        <f>1.34*12*EN39</f>
        <v>37131.936000000002</v>
      </c>
      <c r="EO11" s="115">
        <f>1.34*12*EO39</f>
        <v>60060.408000000003</v>
      </c>
      <c r="EP11" s="149"/>
      <c r="EQ11" s="149"/>
      <c r="ER11" s="154"/>
    </row>
    <row r="12" spans="1:153" s="1" customFormat="1" ht="25.5" x14ac:dyDescent="0.2">
      <c r="A12" s="54"/>
      <c r="B12" s="64"/>
      <c r="C12" s="5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84"/>
      <c r="CK12" s="53"/>
      <c r="CL12" s="53"/>
      <c r="CM12" s="10"/>
      <c r="CN12" s="10"/>
      <c r="CO12" s="10"/>
      <c r="CP12" s="10"/>
      <c r="CQ12" s="10"/>
      <c r="CR12" s="84" t="s">
        <v>146</v>
      </c>
      <c r="CS12" s="53"/>
      <c r="CT12" s="53"/>
      <c r="CU12" s="10"/>
      <c r="CV12" s="10"/>
      <c r="CW12" s="10"/>
      <c r="CX12" s="10"/>
      <c r="CY12" s="10"/>
      <c r="CZ12" s="10"/>
      <c r="DA12" s="85"/>
      <c r="DB12" s="53"/>
      <c r="DC12" s="53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84"/>
      <c r="DY12" s="53"/>
      <c r="DZ12" s="53"/>
      <c r="EA12" s="10"/>
      <c r="EB12" s="10"/>
      <c r="EC12" s="10"/>
      <c r="ED12" s="84" t="s">
        <v>146</v>
      </c>
      <c r="EE12" s="53" t="s">
        <v>134</v>
      </c>
      <c r="EF12" s="53">
        <v>0</v>
      </c>
      <c r="EG12" s="10">
        <v>0</v>
      </c>
      <c r="EH12" s="99">
        <v>0</v>
      </c>
      <c r="EI12" s="126" t="s">
        <v>180</v>
      </c>
      <c r="EJ12" s="127" t="s">
        <v>137</v>
      </c>
      <c r="EK12" s="114">
        <f>0.01*12*EK39</f>
        <v>451.84800000000001</v>
      </c>
      <c r="EL12" s="115">
        <f>0.01*12*EL39</f>
        <v>473.55599999999998</v>
      </c>
      <c r="EM12" s="115">
        <f>0.01*12*EM39</f>
        <v>304.33199999999999</v>
      </c>
      <c r="EN12" s="115">
        <f>0.01*12*EN39</f>
        <v>277.10399999999998</v>
      </c>
      <c r="EO12" s="115">
        <f>0.01*12*EO39</f>
        <v>448.21199999999999</v>
      </c>
      <c r="EP12" s="149"/>
      <c r="EQ12" s="149"/>
      <c r="ER12" s="154"/>
    </row>
    <row r="13" spans="1:153" s="1" customFormat="1" ht="25.5" x14ac:dyDescent="0.2">
      <c r="A13" s="54"/>
      <c r="B13" s="64"/>
      <c r="C13" s="5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86"/>
      <c r="CK13" s="86"/>
      <c r="CL13" s="86"/>
      <c r="CM13" s="10"/>
      <c r="CN13" s="10"/>
      <c r="CO13" s="10"/>
      <c r="CP13" s="10"/>
      <c r="CQ13" s="10"/>
      <c r="CR13" s="84" t="s">
        <v>147</v>
      </c>
      <c r="CS13" s="53"/>
      <c r="CT13" s="53"/>
      <c r="CU13" s="10"/>
      <c r="CV13" s="10"/>
      <c r="CW13" s="10"/>
      <c r="CX13" s="10"/>
      <c r="CY13" s="10"/>
      <c r="CZ13" s="10"/>
      <c r="DA13" s="85"/>
      <c r="DB13" s="53"/>
      <c r="DC13" s="53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84"/>
      <c r="DY13" s="53"/>
      <c r="DZ13" s="53"/>
      <c r="EA13" s="10"/>
      <c r="EB13" s="10"/>
      <c r="EC13" s="10"/>
      <c r="ED13" s="84" t="s">
        <v>147</v>
      </c>
      <c r="EE13" s="53" t="s">
        <v>148</v>
      </c>
      <c r="EF13" s="53">
        <v>0</v>
      </c>
      <c r="EG13" s="10">
        <v>0</v>
      </c>
      <c r="EH13" s="99">
        <v>0</v>
      </c>
      <c r="EI13" s="126" t="s">
        <v>181</v>
      </c>
      <c r="EJ13" s="127" t="s">
        <v>137</v>
      </c>
      <c r="EK13" s="114">
        <f>0.02*12*EK39</f>
        <v>903.69600000000003</v>
      </c>
      <c r="EL13" s="115">
        <f>0.02*12*EL39</f>
        <v>947.11199999999997</v>
      </c>
      <c r="EM13" s="115">
        <f>0.02*12*EM39</f>
        <v>608.66399999999999</v>
      </c>
      <c r="EN13" s="115">
        <f>0.02*12*EN39</f>
        <v>554.20799999999997</v>
      </c>
      <c r="EO13" s="115">
        <f>0.02*12*EO39</f>
        <v>896.42399999999998</v>
      </c>
      <c r="EP13" s="149"/>
      <c r="EQ13" s="149"/>
      <c r="ER13" s="154"/>
    </row>
    <row r="14" spans="1:153" s="1" customFormat="1" ht="23.85" customHeight="1" x14ac:dyDescent="0.2">
      <c r="A14" s="55" t="s">
        <v>11</v>
      </c>
      <c r="B14" s="64"/>
      <c r="C14" s="56">
        <f>SUM(C15:C21)</f>
        <v>4.4300000000000006</v>
      </c>
      <c r="D14" s="9">
        <f>SUM(D15:D21)</f>
        <v>25655.016000000003</v>
      </c>
      <c r="E14" s="9">
        <f t="shared" ref="E14:BR14" si="23">SUM(E15:E21)</f>
        <v>31422.876000000004</v>
      </c>
      <c r="F14" s="9">
        <f t="shared" si="23"/>
        <v>38461.26</v>
      </c>
      <c r="G14" s="9">
        <f t="shared" si="23"/>
        <v>24522.708000000002</v>
      </c>
      <c r="H14" s="9">
        <f t="shared" si="23"/>
        <v>22699.32</v>
      </c>
      <c r="I14" s="9">
        <f t="shared" si="23"/>
        <v>72483.66</v>
      </c>
      <c r="J14" s="9">
        <f t="shared" si="23"/>
        <v>30981.647999999997</v>
      </c>
      <c r="K14" s="9">
        <f t="shared" si="23"/>
        <v>30859.379999999997</v>
      </c>
      <c r="L14" s="9">
        <f t="shared" si="23"/>
        <v>29354.952000000005</v>
      </c>
      <c r="M14" s="9">
        <f t="shared" si="23"/>
        <v>30003.504000000001</v>
      </c>
      <c r="N14" s="9">
        <f t="shared" si="23"/>
        <v>32071.428</v>
      </c>
      <c r="O14" s="9">
        <f t="shared" si="23"/>
        <v>18393.36</v>
      </c>
      <c r="P14" s="9">
        <f t="shared" si="23"/>
        <v>43006.44</v>
      </c>
      <c r="Q14" s="9">
        <f t="shared" si="23"/>
        <v>33166.524000000005</v>
      </c>
      <c r="R14" s="9">
        <f t="shared" si="23"/>
        <v>33177.156000000003</v>
      </c>
      <c r="S14" s="9">
        <f t="shared" si="23"/>
        <v>30827.483999999997</v>
      </c>
      <c r="T14" s="9">
        <f t="shared" si="23"/>
        <v>24714.083999999999</v>
      </c>
      <c r="U14" s="9">
        <f t="shared" si="23"/>
        <v>33650.28</v>
      </c>
      <c r="V14" s="9">
        <f t="shared" si="23"/>
        <v>27802.68</v>
      </c>
      <c r="W14" s="9">
        <f t="shared" si="23"/>
        <v>38716.428</v>
      </c>
      <c r="X14" s="9">
        <f t="shared" si="23"/>
        <v>26186.616000000002</v>
      </c>
      <c r="Y14" s="9">
        <f t="shared" si="23"/>
        <v>29929.08</v>
      </c>
      <c r="Z14" s="9">
        <f t="shared" si="23"/>
        <v>22795.008000000002</v>
      </c>
      <c r="AA14" s="9">
        <f t="shared" ref="AA14" si="24">SUM(AA15:AA21)</f>
        <v>31805.628000000001</v>
      </c>
      <c r="AB14" s="9">
        <f t="shared" si="23"/>
        <v>24315.383999999998</v>
      </c>
      <c r="AC14" s="9">
        <f t="shared" si="23"/>
        <v>26840.483999999997</v>
      </c>
      <c r="AD14" s="9">
        <f t="shared" si="23"/>
        <v>25266.948000000004</v>
      </c>
      <c r="AE14" s="9">
        <f t="shared" si="23"/>
        <v>24480.18</v>
      </c>
      <c r="AF14" s="9">
        <f t="shared" si="23"/>
        <v>29966.292000000001</v>
      </c>
      <c r="AG14" s="9">
        <f t="shared" si="23"/>
        <v>38748.324000000001</v>
      </c>
      <c r="AH14" s="9">
        <f t="shared" si="23"/>
        <v>24597.131999999998</v>
      </c>
      <c r="AI14" s="9">
        <f t="shared" ref="AI14" si="25">SUM(AI15:AI21)</f>
        <v>24235.644</v>
      </c>
      <c r="AJ14" s="9">
        <f t="shared" si="23"/>
        <v>27457.14</v>
      </c>
      <c r="AK14" s="9">
        <f t="shared" si="23"/>
        <v>27478.403999999995</v>
      </c>
      <c r="AL14" s="9">
        <f t="shared" si="23"/>
        <v>27302.976000000002</v>
      </c>
      <c r="AM14" s="9">
        <f t="shared" si="23"/>
        <v>25118.1</v>
      </c>
      <c r="AN14" s="9">
        <f t="shared" si="23"/>
        <v>25352.004000000001</v>
      </c>
      <c r="AO14" s="9">
        <f t="shared" si="23"/>
        <v>25655.016000000003</v>
      </c>
      <c r="AP14" s="9">
        <f t="shared" si="23"/>
        <v>25187.208000000002</v>
      </c>
      <c r="AQ14" s="9">
        <f t="shared" si="23"/>
        <v>27563.46</v>
      </c>
      <c r="AR14" s="9">
        <f t="shared" si="23"/>
        <v>29966.292000000001</v>
      </c>
      <c r="AS14" s="9">
        <f t="shared" si="23"/>
        <v>25607.171999999999</v>
      </c>
      <c r="AT14" s="9">
        <f t="shared" si="23"/>
        <v>46605.372000000003</v>
      </c>
      <c r="AU14" s="9">
        <f t="shared" si="23"/>
        <v>25251</v>
      </c>
      <c r="AV14" s="9">
        <f t="shared" si="23"/>
        <v>24235.644</v>
      </c>
      <c r="AW14" s="9">
        <f t="shared" si="23"/>
        <v>25809.18</v>
      </c>
      <c r="AX14" s="9">
        <f t="shared" si="23"/>
        <v>30614.843999999997</v>
      </c>
      <c r="AY14" s="9">
        <f t="shared" si="23"/>
        <v>22800.324000000001</v>
      </c>
      <c r="AZ14" s="9">
        <f t="shared" si="23"/>
        <v>38684.532000000007</v>
      </c>
      <c r="BA14" s="9">
        <f t="shared" si="23"/>
        <v>22300.620000000003</v>
      </c>
      <c r="BB14" s="9">
        <f t="shared" si="23"/>
        <v>31651.464</v>
      </c>
      <c r="BC14" s="9">
        <f t="shared" si="23"/>
        <v>39333.084000000003</v>
      </c>
      <c r="BD14" s="9">
        <f t="shared" si="23"/>
        <v>51799.103999999999</v>
      </c>
      <c r="BE14" s="9">
        <f t="shared" si="23"/>
        <v>30210.827999999998</v>
      </c>
      <c r="BF14" s="9">
        <f t="shared" si="23"/>
        <v>35292.923999999999</v>
      </c>
      <c r="BG14" s="9">
        <f t="shared" si="23"/>
        <v>28249.223999999998</v>
      </c>
      <c r="BH14" s="9">
        <f t="shared" si="23"/>
        <v>42740.639999999999</v>
      </c>
      <c r="BI14" s="9">
        <f t="shared" si="23"/>
        <v>22417.572</v>
      </c>
      <c r="BJ14" s="9">
        <f t="shared" si="23"/>
        <v>18414.624</v>
      </c>
      <c r="BK14" s="9">
        <f t="shared" si="23"/>
        <v>25165.944</v>
      </c>
      <c r="BL14" s="9">
        <f t="shared" si="23"/>
        <v>25915.5</v>
      </c>
      <c r="BM14" s="9">
        <f t="shared" si="23"/>
        <v>28903.092000000004</v>
      </c>
      <c r="BN14" s="9">
        <f t="shared" si="23"/>
        <v>27478.403999999995</v>
      </c>
      <c r="BO14" s="9">
        <f t="shared" si="23"/>
        <v>31199.603999999999</v>
      </c>
      <c r="BP14" s="9">
        <f t="shared" si="23"/>
        <v>23246.868000000002</v>
      </c>
      <c r="BQ14" s="9">
        <f t="shared" si="23"/>
        <v>22922.592000000001</v>
      </c>
      <c r="BR14" s="9">
        <f t="shared" si="23"/>
        <v>24921.408000000003</v>
      </c>
      <c r="BS14" s="9">
        <f t="shared" ref="BS14:CI14" si="26">SUM(BS15:BS21)</f>
        <v>32390.387999999999</v>
      </c>
      <c r="BT14" s="9">
        <f t="shared" si="26"/>
        <v>29392.164000000001</v>
      </c>
      <c r="BU14" s="9">
        <f t="shared" si="26"/>
        <v>26787.324000000001</v>
      </c>
      <c r="BV14" s="9">
        <f t="shared" si="26"/>
        <v>27940.896000000001</v>
      </c>
      <c r="BW14" s="9">
        <f t="shared" si="26"/>
        <v>26962.752</v>
      </c>
      <c r="BX14" s="9">
        <f t="shared" si="26"/>
        <v>26925.54</v>
      </c>
      <c r="BY14" s="9">
        <f t="shared" si="26"/>
        <v>26468.364000000001</v>
      </c>
      <c r="BZ14" s="9">
        <f t="shared" si="26"/>
        <v>27430.560000000001</v>
      </c>
      <c r="CA14" s="9">
        <f t="shared" si="26"/>
        <v>27994.056000000004</v>
      </c>
      <c r="CB14" s="9">
        <f t="shared" si="26"/>
        <v>27558.144</v>
      </c>
      <c r="CC14" s="9">
        <f t="shared" si="26"/>
        <v>29179.524000000001</v>
      </c>
      <c r="CD14" s="9">
        <f t="shared" si="26"/>
        <v>24613.079999999998</v>
      </c>
      <c r="CE14" s="9">
        <f t="shared" si="26"/>
        <v>20732.400000000001</v>
      </c>
      <c r="CF14" s="9">
        <f t="shared" si="26"/>
        <v>23682.78</v>
      </c>
      <c r="CG14" s="9">
        <f t="shared" si="26"/>
        <v>27845.207999999999</v>
      </c>
      <c r="CH14" s="9">
        <f t="shared" si="26"/>
        <v>30040.716</v>
      </c>
      <c r="CI14" s="9">
        <f t="shared" si="26"/>
        <v>22896.012000000002</v>
      </c>
      <c r="CJ14" s="87" t="s">
        <v>11</v>
      </c>
      <c r="CK14" s="83"/>
      <c r="CL14" s="56">
        <f>SUM(CL15:CL21)</f>
        <v>4.58</v>
      </c>
      <c r="CM14" s="9">
        <f>SUM(CM15:CM21)</f>
        <v>26924.904000000002</v>
      </c>
      <c r="CN14" s="9">
        <f t="shared" ref="CN14:CQ14" si="27">SUM(CN15:CN21)</f>
        <v>25056.263999999999</v>
      </c>
      <c r="CO14" s="9">
        <f t="shared" si="27"/>
        <v>25270.608</v>
      </c>
      <c r="CP14" s="9">
        <f t="shared" si="27"/>
        <v>28425.312000000005</v>
      </c>
      <c r="CQ14" s="9">
        <f t="shared" si="27"/>
        <v>28364.856</v>
      </c>
      <c r="CR14" s="87" t="s">
        <v>11</v>
      </c>
      <c r="CS14" s="83"/>
      <c r="CT14" s="56">
        <f>SUM(CT15:CT21)</f>
        <v>9.4499999999999993</v>
      </c>
      <c r="CU14" s="9">
        <f>SUM(CU15:CU21)</f>
        <v>51528.959999999999</v>
      </c>
      <c r="CV14" s="9">
        <f t="shared" ref="CV14:CZ14" si="28">SUM(CV15:CV21)</f>
        <v>52413.479999999996</v>
      </c>
      <c r="CW14" s="9">
        <f t="shared" si="28"/>
        <v>52821.72</v>
      </c>
      <c r="CX14" s="9">
        <f t="shared" si="28"/>
        <v>53626.86</v>
      </c>
      <c r="CY14" s="9">
        <f t="shared" si="28"/>
        <v>51891.840000000004</v>
      </c>
      <c r="CZ14" s="9">
        <f t="shared" si="28"/>
        <v>52481.520000000004</v>
      </c>
      <c r="DA14" s="87" t="s">
        <v>11</v>
      </c>
      <c r="DB14" s="83"/>
      <c r="DC14" s="56">
        <f>SUM(DC15:DC21)</f>
        <v>4.4300000000000006</v>
      </c>
      <c r="DD14" s="9">
        <f>SUM(DD15:DD21)</f>
        <v>26043.083999999999</v>
      </c>
      <c r="DE14" s="9">
        <f t="shared" ref="DE14:DW14" si="29">SUM(DE15:DE21)</f>
        <v>29477.22</v>
      </c>
      <c r="DF14" s="9">
        <f t="shared" si="29"/>
        <v>52846.356</v>
      </c>
      <c r="DG14" s="9">
        <f t="shared" si="29"/>
        <v>23815.68</v>
      </c>
      <c r="DH14" s="9">
        <f t="shared" si="29"/>
        <v>30035.4</v>
      </c>
      <c r="DI14" s="9">
        <f t="shared" si="29"/>
        <v>30093.876000000004</v>
      </c>
      <c r="DJ14" s="9">
        <f t="shared" si="29"/>
        <v>26856.432000000001</v>
      </c>
      <c r="DK14" s="9">
        <f t="shared" si="29"/>
        <v>27069.072</v>
      </c>
      <c r="DL14" s="9">
        <f t="shared" si="29"/>
        <v>30242.723999999998</v>
      </c>
      <c r="DM14" s="9">
        <f t="shared" si="29"/>
        <v>25511.483999999997</v>
      </c>
      <c r="DN14" s="9">
        <f t="shared" si="29"/>
        <v>29626.067999999999</v>
      </c>
      <c r="DO14" s="9">
        <f t="shared" si="29"/>
        <v>23985.792000000001</v>
      </c>
      <c r="DP14" s="9">
        <f t="shared" si="29"/>
        <v>38243.304000000004</v>
      </c>
      <c r="DQ14" s="9">
        <f t="shared" si="29"/>
        <v>24150.588000000003</v>
      </c>
      <c r="DR14" s="9">
        <f t="shared" si="29"/>
        <v>25484.903999999995</v>
      </c>
      <c r="DS14" s="9">
        <f t="shared" si="29"/>
        <v>24581.184000000001</v>
      </c>
      <c r="DT14" s="9">
        <f t="shared" si="29"/>
        <v>24809.772000000001</v>
      </c>
      <c r="DU14" s="9">
        <f t="shared" si="29"/>
        <v>22348.464</v>
      </c>
      <c r="DV14" s="9">
        <f t="shared" si="29"/>
        <v>47105.076000000001</v>
      </c>
      <c r="DW14" s="9">
        <f t="shared" si="29"/>
        <v>28376.807999999997</v>
      </c>
      <c r="DX14" s="87" t="s">
        <v>11</v>
      </c>
      <c r="DY14" s="83"/>
      <c r="DZ14" s="56">
        <f>SUM(DZ15:DZ21)</f>
        <v>4.58</v>
      </c>
      <c r="EA14" s="9">
        <f>SUM(EA15:EA21)</f>
        <v>26924.904000000002</v>
      </c>
      <c r="EB14" s="9">
        <f t="shared" ref="EB14:EC14" si="30">SUM(EB15:EB21)</f>
        <v>25605.864000000001</v>
      </c>
      <c r="EC14" s="9">
        <f t="shared" si="30"/>
        <v>25715.784</v>
      </c>
      <c r="ED14" s="87" t="s">
        <v>11</v>
      </c>
      <c r="EE14" s="83"/>
      <c r="EF14" s="56">
        <f>SUM(EF15:EF21)</f>
        <v>9.4499999999999993</v>
      </c>
      <c r="EG14" s="9">
        <f>SUM(EG15:EG21)</f>
        <v>51699.06</v>
      </c>
      <c r="EH14" s="100">
        <f>SUM(EH15:EH21)</f>
        <v>47151.72</v>
      </c>
      <c r="EI14" s="124" t="s">
        <v>11</v>
      </c>
      <c r="EJ14" s="128"/>
      <c r="EK14" s="116">
        <f>SUM(EK15:EK22)</f>
        <v>210109.32</v>
      </c>
      <c r="EL14" s="116">
        <f>SUM(EL15:EL22)</f>
        <v>232989.55200000003</v>
      </c>
      <c r="EM14" s="116">
        <f>SUM(EM15:EM22)</f>
        <v>191424.82799999998</v>
      </c>
      <c r="EN14" s="116">
        <f>SUM(EN15:EN22)</f>
        <v>136335.16799999998</v>
      </c>
      <c r="EO14" s="116">
        <f>SUM(EO15:EO22)</f>
        <v>220520.304</v>
      </c>
      <c r="EP14" s="109"/>
      <c r="EQ14" s="109"/>
      <c r="ER14" s="154"/>
    </row>
    <row r="15" spans="1:153" s="1" customFormat="1" x14ac:dyDescent="0.2">
      <c r="A15" s="54" t="s">
        <v>107</v>
      </c>
      <c r="B15" s="64" t="s">
        <v>21</v>
      </c>
      <c r="C15" s="53">
        <v>0.41</v>
      </c>
      <c r="D15" s="10">
        <f>$C$15*12*D39</f>
        <v>2374.3920000000003</v>
      </c>
      <c r="E15" s="10">
        <f t="shared" ref="E15:BR15" si="31">$C$15*12*E39</f>
        <v>2908.212</v>
      </c>
      <c r="F15" s="10">
        <f t="shared" si="31"/>
        <v>3559.62</v>
      </c>
      <c r="G15" s="10">
        <f t="shared" si="31"/>
        <v>2269.596</v>
      </c>
      <c r="H15" s="10">
        <f t="shared" si="31"/>
        <v>2100.84</v>
      </c>
      <c r="I15" s="10">
        <f t="shared" si="31"/>
        <v>6708.42</v>
      </c>
      <c r="J15" s="10">
        <f t="shared" si="31"/>
        <v>2867.3759999999997</v>
      </c>
      <c r="K15" s="10">
        <f t="shared" si="31"/>
        <v>2856.06</v>
      </c>
      <c r="L15" s="10">
        <f t="shared" si="31"/>
        <v>2716.8240000000001</v>
      </c>
      <c r="M15" s="10">
        <f t="shared" si="31"/>
        <v>2776.848</v>
      </c>
      <c r="N15" s="10">
        <f t="shared" si="31"/>
        <v>2968.2359999999999</v>
      </c>
      <c r="O15" s="10">
        <f t="shared" si="31"/>
        <v>1702.32</v>
      </c>
      <c r="P15" s="10">
        <f t="shared" si="31"/>
        <v>3980.2799999999997</v>
      </c>
      <c r="Q15" s="10">
        <f t="shared" si="31"/>
        <v>3069.5879999999997</v>
      </c>
      <c r="R15" s="10">
        <f t="shared" si="31"/>
        <v>3070.5720000000001</v>
      </c>
      <c r="S15" s="10">
        <f t="shared" si="31"/>
        <v>2853.1079999999997</v>
      </c>
      <c r="T15" s="10">
        <f t="shared" si="31"/>
        <v>2287.308</v>
      </c>
      <c r="U15" s="10">
        <f t="shared" si="31"/>
        <v>3114.36</v>
      </c>
      <c r="V15" s="10">
        <f t="shared" si="31"/>
        <v>2573.16</v>
      </c>
      <c r="W15" s="10">
        <f t="shared" si="31"/>
        <v>3583.2359999999999</v>
      </c>
      <c r="X15" s="10">
        <f t="shared" si="31"/>
        <v>2423.5920000000001</v>
      </c>
      <c r="Y15" s="10">
        <f t="shared" si="31"/>
        <v>2769.96</v>
      </c>
      <c r="Z15" s="10">
        <f t="shared" si="31"/>
        <v>2109.6959999999999</v>
      </c>
      <c r="AA15" s="10">
        <f t="shared" ref="AA15" si="32">$C$15*12*AA39</f>
        <v>2943.6359999999995</v>
      </c>
      <c r="AB15" s="10">
        <f t="shared" si="31"/>
        <v>2250.4079999999999</v>
      </c>
      <c r="AC15" s="10">
        <f t="shared" si="31"/>
        <v>2484.1079999999997</v>
      </c>
      <c r="AD15" s="10">
        <f t="shared" si="31"/>
        <v>2338.4760000000001</v>
      </c>
      <c r="AE15" s="10">
        <f t="shared" si="31"/>
        <v>2265.66</v>
      </c>
      <c r="AF15" s="10">
        <f t="shared" si="31"/>
        <v>2773.404</v>
      </c>
      <c r="AG15" s="10">
        <f t="shared" si="31"/>
        <v>3586.1879999999996</v>
      </c>
      <c r="AH15" s="10">
        <f t="shared" si="31"/>
        <v>2276.4839999999999</v>
      </c>
      <c r="AI15" s="10">
        <f t="shared" ref="AI15" si="33">$C$15*12*AI39</f>
        <v>2243.0279999999998</v>
      </c>
      <c r="AJ15" s="10">
        <f t="shared" si="31"/>
        <v>2541.1799999999998</v>
      </c>
      <c r="AK15" s="10">
        <f t="shared" si="31"/>
        <v>2543.1479999999997</v>
      </c>
      <c r="AL15" s="10">
        <f t="shared" si="31"/>
        <v>2526.9120000000003</v>
      </c>
      <c r="AM15" s="10">
        <f t="shared" si="31"/>
        <v>2324.6999999999998</v>
      </c>
      <c r="AN15" s="10">
        <f t="shared" si="31"/>
        <v>2346.348</v>
      </c>
      <c r="AO15" s="10">
        <f t="shared" si="31"/>
        <v>2374.3920000000003</v>
      </c>
      <c r="AP15" s="10">
        <f t="shared" si="31"/>
        <v>2331.096</v>
      </c>
      <c r="AQ15" s="10">
        <f t="shared" si="31"/>
        <v>2551.02</v>
      </c>
      <c r="AR15" s="10">
        <f t="shared" si="31"/>
        <v>2773.404</v>
      </c>
      <c r="AS15" s="10">
        <f t="shared" si="31"/>
        <v>2369.9639999999999</v>
      </c>
      <c r="AT15" s="10">
        <f t="shared" si="31"/>
        <v>4313.3640000000005</v>
      </c>
      <c r="AU15" s="10">
        <f t="shared" si="31"/>
        <v>2337</v>
      </c>
      <c r="AV15" s="10">
        <f t="shared" si="31"/>
        <v>2243.0279999999998</v>
      </c>
      <c r="AW15" s="10">
        <f t="shared" si="31"/>
        <v>2388.66</v>
      </c>
      <c r="AX15" s="10">
        <f t="shared" si="31"/>
        <v>2833.4279999999999</v>
      </c>
      <c r="AY15" s="10">
        <f t="shared" si="31"/>
        <v>2110.1879999999996</v>
      </c>
      <c r="AZ15" s="10">
        <f t="shared" si="31"/>
        <v>3580.2840000000001</v>
      </c>
      <c r="BA15" s="10">
        <f t="shared" si="31"/>
        <v>2063.94</v>
      </c>
      <c r="BB15" s="10">
        <f t="shared" si="31"/>
        <v>2929.3679999999999</v>
      </c>
      <c r="BC15" s="10">
        <f t="shared" si="31"/>
        <v>3640.308</v>
      </c>
      <c r="BD15" s="10">
        <f t="shared" si="31"/>
        <v>4794.0479999999998</v>
      </c>
      <c r="BE15" s="10">
        <f t="shared" si="31"/>
        <v>2796.0359999999996</v>
      </c>
      <c r="BF15" s="10">
        <f t="shared" si="31"/>
        <v>3266.3879999999999</v>
      </c>
      <c r="BG15" s="10">
        <f t="shared" si="31"/>
        <v>2614.4879999999998</v>
      </c>
      <c r="BH15" s="10">
        <f t="shared" si="31"/>
        <v>3955.68</v>
      </c>
      <c r="BI15" s="10">
        <f t="shared" si="31"/>
        <v>2074.7640000000001</v>
      </c>
      <c r="BJ15" s="10">
        <f t="shared" si="31"/>
        <v>1704.2879999999998</v>
      </c>
      <c r="BK15" s="10">
        <f t="shared" si="31"/>
        <v>2329.1279999999997</v>
      </c>
      <c r="BL15" s="10">
        <f t="shared" si="31"/>
        <v>2398.5</v>
      </c>
      <c r="BM15" s="10">
        <f t="shared" si="31"/>
        <v>2675.0040000000004</v>
      </c>
      <c r="BN15" s="10">
        <f t="shared" si="31"/>
        <v>2543.1479999999997</v>
      </c>
      <c r="BO15" s="10">
        <f t="shared" si="31"/>
        <v>2887.5479999999998</v>
      </c>
      <c r="BP15" s="10">
        <f t="shared" si="31"/>
        <v>2151.5160000000001</v>
      </c>
      <c r="BQ15" s="10">
        <f t="shared" si="31"/>
        <v>2121.5039999999999</v>
      </c>
      <c r="BR15" s="10">
        <f t="shared" si="31"/>
        <v>2306.4960000000001</v>
      </c>
      <c r="BS15" s="10">
        <f t="shared" ref="BS15:CI15" si="34">$C$15*12*BS39</f>
        <v>2997.7559999999999</v>
      </c>
      <c r="BT15" s="10">
        <f t="shared" si="34"/>
        <v>2720.268</v>
      </c>
      <c r="BU15" s="10">
        <f t="shared" si="34"/>
        <v>2479.1879999999996</v>
      </c>
      <c r="BV15" s="10">
        <f t="shared" si="34"/>
        <v>2585.9520000000002</v>
      </c>
      <c r="BW15" s="10">
        <f t="shared" si="34"/>
        <v>2495.424</v>
      </c>
      <c r="BX15" s="10">
        <f t="shared" si="34"/>
        <v>2491.98</v>
      </c>
      <c r="BY15" s="10">
        <f t="shared" si="34"/>
        <v>2449.6679999999997</v>
      </c>
      <c r="BZ15" s="10">
        <f t="shared" si="34"/>
        <v>2538.7199999999998</v>
      </c>
      <c r="CA15" s="10">
        <f t="shared" si="34"/>
        <v>2590.8720000000003</v>
      </c>
      <c r="CB15" s="10">
        <f t="shared" si="34"/>
        <v>2550.5279999999998</v>
      </c>
      <c r="CC15" s="10">
        <f t="shared" si="34"/>
        <v>2700.5879999999997</v>
      </c>
      <c r="CD15" s="10">
        <f t="shared" si="34"/>
        <v>2277.96</v>
      </c>
      <c r="CE15" s="10">
        <f t="shared" si="34"/>
        <v>1918.8</v>
      </c>
      <c r="CF15" s="10">
        <f t="shared" si="34"/>
        <v>2191.86</v>
      </c>
      <c r="CG15" s="10">
        <f t="shared" si="34"/>
        <v>2577.0959999999995</v>
      </c>
      <c r="CH15" s="10">
        <f t="shared" si="34"/>
        <v>2780.2919999999999</v>
      </c>
      <c r="CI15" s="10">
        <f t="shared" si="34"/>
        <v>2119.0439999999999</v>
      </c>
      <c r="CJ15" s="84" t="s">
        <v>135</v>
      </c>
      <c r="CK15" s="53" t="s">
        <v>21</v>
      </c>
      <c r="CL15" s="53">
        <v>0.49</v>
      </c>
      <c r="CM15" s="10">
        <f>$CL$15*12*CM39</f>
        <v>2880.6119999999996</v>
      </c>
      <c r="CN15" s="10">
        <f t="shared" ref="CN15:CQ15" si="35">$CL$15*12*CN39</f>
        <v>2680.692</v>
      </c>
      <c r="CO15" s="10">
        <f t="shared" si="35"/>
        <v>2703.6239999999998</v>
      </c>
      <c r="CP15" s="10">
        <f t="shared" si="35"/>
        <v>3041.1360000000004</v>
      </c>
      <c r="CQ15" s="10">
        <f t="shared" si="35"/>
        <v>3034.6680000000001</v>
      </c>
      <c r="CR15" s="84" t="s">
        <v>149</v>
      </c>
      <c r="CS15" s="53" t="s">
        <v>21</v>
      </c>
      <c r="CT15" s="53">
        <v>0.39</v>
      </c>
      <c r="CU15" s="10">
        <f>$CT$15*12*CU39</f>
        <v>2126.5919999999996</v>
      </c>
      <c r="CV15" s="10">
        <f t="shared" ref="CV15:CZ15" si="36">$CT$15*12*CV39</f>
        <v>2163.096</v>
      </c>
      <c r="CW15" s="10">
        <f t="shared" si="36"/>
        <v>2179.944</v>
      </c>
      <c r="CX15" s="10">
        <f t="shared" si="36"/>
        <v>2213.1719999999996</v>
      </c>
      <c r="CY15" s="10">
        <f t="shared" si="36"/>
        <v>2141.5679999999998</v>
      </c>
      <c r="CZ15" s="10">
        <f t="shared" si="36"/>
        <v>2165.904</v>
      </c>
      <c r="DA15" s="84" t="s">
        <v>107</v>
      </c>
      <c r="DB15" s="53" t="s">
        <v>21</v>
      </c>
      <c r="DC15" s="53">
        <v>0.41</v>
      </c>
      <c r="DD15" s="10">
        <f>$DC$15*12*DD39</f>
        <v>2410.308</v>
      </c>
      <c r="DE15" s="10">
        <f t="shared" ref="DE15:DW15" si="37">$DC$15*12*DE39</f>
        <v>2728.14</v>
      </c>
      <c r="DF15" s="10">
        <f t="shared" si="37"/>
        <v>4890.9719999999998</v>
      </c>
      <c r="DG15" s="10">
        <f t="shared" si="37"/>
        <v>2204.16</v>
      </c>
      <c r="DH15" s="10">
        <f t="shared" si="37"/>
        <v>2779.8</v>
      </c>
      <c r="DI15" s="10">
        <f t="shared" si="37"/>
        <v>2785.212</v>
      </c>
      <c r="DJ15" s="10">
        <f t="shared" si="37"/>
        <v>2485.5839999999998</v>
      </c>
      <c r="DK15" s="10">
        <f t="shared" si="37"/>
        <v>2505.2640000000001</v>
      </c>
      <c r="DL15" s="10">
        <f t="shared" si="37"/>
        <v>2798.9879999999998</v>
      </c>
      <c r="DM15" s="10">
        <f t="shared" si="37"/>
        <v>2361.1079999999997</v>
      </c>
      <c r="DN15" s="10">
        <f t="shared" si="37"/>
        <v>2741.9159999999997</v>
      </c>
      <c r="DO15" s="10">
        <f t="shared" si="37"/>
        <v>2219.904</v>
      </c>
      <c r="DP15" s="10">
        <f t="shared" si="37"/>
        <v>3539.4479999999999</v>
      </c>
      <c r="DQ15" s="10">
        <f t="shared" si="37"/>
        <v>2235.1559999999999</v>
      </c>
      <c r="DR15" s="10">
        <f t="shared" si="37"/>
        <v>2358.6479999999997</v>
      </c>
      <c r="DS15" s="10">
        <f t="shared" si="37"/>
        <v>2275.0079999999998</v>
      </c>
      <c r="DT15" s="10">
        <f t="shared" si="37"/>
        <v>2296.1639999999998</v>
      </c>
      <c r="DU15" s="10">
        <f t="shared" si="37"/>
        <v>2068.3679999999999</v>
      </c>
      <c r="DV15" s="10">
        <f t="shared" si="37"/>
        <v>4359.6120000000001</v>
      </c>
      <c r="DW15" s="10">
        <f t="shared" si="37"/>
        <v>2626.2959999999998</v>
      </c>
      <c r="DX15" s="84" t="s">
        <v>135</v>
      </c>
      <c r="DY15" s="53" t="s">
        <v>21</v>
      </c>
      <c r="DZ15" s="53">
        <v>0.49</v>
      </c>
      <c r="EA15" s="10">
        <f>$DZ$15*12*EA39</f>
        <v>2880.6119999999996</v>
      </c>
      <c r="EB15" s="10">
        <f t="shared" ref="EB15:EC15" si="38">$DZ$15*12*EB39</f>
        <v>2739.4919999999997</v>
      </c>
      <c r="EC15" s="10">
        <f t="shared" si="38"/>
        <v>2751.252</v>
      </c>
      <c r="ED15" s="84" t="s">
        <v>149</v>
      </c>
      <c r="EE15" s="53" t="s">
        <v>21</v>
      </c>
      <c r="EF15" s="53">
        <v>0.39</v>
      </c>
      <c r="EG15" s="10">
        <f>$EF$15*12*EG39</f>
        <v>2133.6119999999996</v>
      </c>
      <c r="EH15" s="99">
        <f>$EF$15*12*EH39</f>
        <v>1945.944</v>
      </c>
      <c r="EI15" s="126" t="s">
        <v>182</v>
      </c>
      <c r="EJ15" s="127" t="s">
        <v>183</v>
      </c>
      <c r="EK15" s="114">
        <f>0.16*12*EK39</f>
        <v>7229.5680000000002</v>
      </c>
      <c r="EL15" s="115">
        <f>0.15*12*EL39</f>
        <v>7103.3399999999992</v>
      </c>
      <c r="EM15" s="114">
        <f>0.15*12*EM39</f>
        <v>4564.9799999999996</v>
      </c>
      <c r="EN15" s="115">
        <f>0.15*12*EN39</f>
        <v>4156.5599999999995</v>
      </c>
      <c r="EO15" s="115">
        <f>0.15*12*EO39</f>
        <v>6723.1799999999994</v>
      </c>
      <c r="EP15" s="149"/>
      <c r="EQ15" s="149"/>
      <c r="ER15" s="154"/>
    </row>
    <row r="16" spans="1:153" s="1" customFormat="1" x14ac:dyDescent="0.2">
      <c r="A16" s="54" t="s">
        <v>108</v>
      </c>
      <c r="B16" s="64" t="s">
        <v>10</v>
      </c>
      <c r="C16" s="53">
        <v>0.49</v>
      </c>
      <c r="D16" s="10">
        <f>$C$16*12*D39</f>
        <v>2837.6880000000001</v>
      </c>
      <c r="E16" s="10">
        <f t="shared" ref="E16:BR16" si="39">$C$16*12*E39</f>
        <v>3475.6680000000001</v>
      </c>
      <c r="F16" s="10">
        <f t="shared" si="39"/>
        <v>4254.18</v>
      </c>
      <c r="G16" s="10">
        <f t="shared" si="39"/>
        <v>2712.444</v>
      </c>
      <c r="H16" s="10">
        <f t="shared" si="39"/>
        <v>2510.7599999999998</v>
      </c>
      <c r="I16" s="10">
        <f t="shared" si="39"/>
        <v>8017.38</v>
      </c>
      <c r="J16" s="10">
        <f t="shared" si="39"/>
        <v>3426.8639999999996</v>
      </c>
      <c r="K16" s="10">
        <f t="shared" si="39"/>
        <v>3413.34</v>
      </c>
      <c r="L16" s="10">
        <f t="shared" si="39"/>
        <v>3246.9360000000001</v>
      </c>
      <c r="M16" s="10">
        <f t="shared" si="39"/>
        <v>3318.672</v>
      </c>
      <c r="N16" s="10">
        <f t="shared" si="39"/>
        <v>3547.4039999999995</v>
      </c>
      <c r="O16" s="10">
        <f t="shared" si="39"/>
        <v>2034.48</v>
      </c>
      <c r="P16" s="10">
        <f t="shared" si="39"/>
        <v>4756.92</v>
      </c>
      <c r="Q16" s="10">
        <f t="shared" si="39"/>
        <v>3668.5319999999997</v>
      </c>
      <c r="R16" s="10">
        <f t="shared" si="39"/>
        <v>3669.7080000000001</v>
      </c>
      <c r="S16" s="10">
        <f t="shared" si="39"/>
        <v>3409.8119999999999</v>
      </c>
      <c r="T16" s="10">
        <f t="shared" si="39"/>
        <v>2733.6119999999996</v>
      </c>
      <c r="U16" s="10">
        <f t="shared" si="39"/>
        <v>3722.04</v>
      </c>
      <c r="V16" s="10">
        <f t="shared" si="39"/>
        <v>3075.24</v>
      </c>
      <c r="W16" s="10">
        <f t="shared" si="39"/>
        <v>4282.4039999999995</v>
      </c>
      <c r="X16" s="10">
        <f t="shared" si="39"/>
        <v>2896.4880000000003</v>
      </c>
      <c r="Y16" s="10">
        <f t="shared" si="39"/>
        <v>3310.44</v>
      </c>
      <c r="Z16" s="10">
        <f t="shared" si="39"/>
        <v>2521.3440000000001</v>
      </c>
      <c r="AA16" s="10">
        <f t="shared" ref="AA16" si="40">$C$16*12*AA39</f>
        <v>3518.0039999999995</v>
      </c>
      <c r="AB16" s="10">
        <f t="shared" si="39"/>
        <v>2689.5119999999997</v>
      </c>
      <c r="AC16" s="10">
        <f t="shared" si="39"/>
        <v>2968.8119999999999</v>
      </c>
      <c r="AD16" s="10">
        <f t="shared" si="39"/>
        <v>2794.7640000000001</v>
      </c>
      <c r="AE16" s="10">
        <f t="shared" si="39"/>
        <v>2707.74</v>
      </c>
      <c r="AF16" s="10">
        <f t="shared" si="39"/>
        <v>3314.556</v>
      </c>
      <c r="AG16" s="10">
        <f t="shared" si="39"/>
        <v>4285.9319999999998</v>
      </c>
      <c r="AH16" s="10">
        <f t="shared" si="39"/>
        <v>2720.6759999999999</v>
      </c>
      <c r="AI16" s="10">
        <f t="shared" ref="AI16" si="41">$C$16*12*AI39</f>
        <v>2680.692</v>
      </c>
      <c r="AJ16" s="10">
        <f t="shared" si="39"/>
        <v>3037.02</v>
      </c>
      <c r="AK16" s="10">
        <f t="shared" si="39"/>
        <v>3039.3719999999998</v>
      </c>
      <c r="AL16" s="10">
        <f t="shared" si="39"/>
        <v>3019.9680000000003</v>
      </c>
      <c r="AM16" s="10">
        <f t="shared" si="39"/>
        <v>2778.2999999999997</v>
      </c>
      <c r="AN16" s="10">
        <f t="shared" si="39"/>
        <v>2804.172</v>
      </c>
      <c r="AO16" s="10">
        <f t="shared" si="39"/>
        <v>2837.6880000000001</v>
      </c>
      <c r="AP16" s="10">
        <f t="shared" si="39"/>
        <v>2785.944</v>
      </c>
      <c r="AQ16" s="10">
        <f t="shared" si="39"/>
        <v>3048.7799999999997</v>
      </c>
      <c r="AR16" s="10">
        <f t="shared" si="39"/>
        <v>3314.556</v>
      </c>
      <c r="AS16" s="10">
        <f t="shared" si="39"/>
        <v>2832.3959999999997</v>
      </c>
      <c r="AT16" s="10">
        <f t="shared" si="39"/>
        <v>5154.9960000000001</v>
      </c>
      <c r="AU16" s="10">
        <f t="shared" si="39"/>
        <v>2793</v>
      </c>
      <c r="AV16" s="10">
        <f t="shared" si="39"/>
        <v>2680.692</v>
      </c>
      <c r="AW16" s="10">
        <f t="shared" si="39"/>
        <v>2854.74</v>
      </c>
      <c r="AX16" s="10">
        <f t="shared" si="39"/>
        <v>3386.2919999999999</v>
      </c>
      <c r="AY16" s="10">
        <f t="shared" si="39"/>
        <v>2521.9319999999998</v>
      </c>
      <c r="AZ16" s="10">
        <f t="shared" si="39"/>
        <v>4278.8760000000002</v>
      </c>
      <c r="BA16" s="10">
        <f t="shared" si="39"/>
        <v>2466.66</v>
      </c>
      <c r="BB16" s="10">
        <f t="shared" si="39"/>
        <v>3500.9519999999998</v>
      </c>
      <c r="BC16" s="10">
        <f t="shared" si="39"/>
        <v>4350.6120000000001</v>
      </c>
      <c r="BD16" s="10">
        <f t="shared" si="39"/>
        <v>5729.4719999999998</v>
      </c>
      <c r="BE16" s="10">
        <f t="shared" si="39"/>
        <v>3341.6039999999998</v>
      </c>
      <c r="BF16" s="10">
        <f t="shared" si="39"/>
        <v>3903.732</v>
      </c>
      <c r="BG16" s="10">
        <f t="shared" si="39"/>
        <v>3124.6319999999996</v>
      </c>
      <c r="BH16" s="10">
        <f t="shared" si="39"/>
        <v>4727.5199999999995</v>
      </c>
      <c r="BI16" s="10">
        <f t="shared" si="39"/>
        <v>2479.596</v>
      </c>
      <c r="BJ16" s="10">
        <f t="shared" si="39"/>
        <v>2036.8319999999999</v>
      </c>
      <c r="BK16" s="10">
        <f t="shared" si="39"/>
        <v>2783.5919999999996</v>
      </c>
      <c r="BL16" s="10">
        <f t="shared" si="39"/>
        <v>2866.5</v>
      </c>
      <c r="BM16" s="10">
        <f t="shared" si="39"/>
        <v>3196.9560000000001</v>
      </c>
      <c r="BN16" s="10">
        <f t="shared" si="39"/>
        <v>3039.3719999999998</v>
      </c>
      <c r="BO16" s="10">
        <f t="shared" si="39"/>
        <v>3450.9719999999998</v>
      </c>
      <c r="BP16" s="10">
        <f t="shared" si="39"/>
        <v>2571.3240000000001</v>
      </c>
      <c r="BQ16" s="10">
        <f t="shared" si="39"/>
        <v>2535.4559999999997</v>
      </c>
      <c r="BR16" s="10">
        <f t="shared" si="39"/>
        <v>2756.5439999999999</v>
      </c>
      <c r="BS16" s="10">
        <f t="shared" ref="BS16:CI16" si="42">$C$16*12*BS39</f>
        <v>3582.6839999999997</v>
      </c>
      <c r="BT16" s="10">
        <f t="shared" si="42"/>
        <v>3251.0519999999997</v>
      </c>
      <c r="BU16" s="10">
        <f t="shared" si="42"/>
        <v>2962.9319999999998</v>
      </c>
      <c r="BV16" s="10">
        <f t="shared" si="42"/>
        <v>3090.5280000000002</v>
      </c>
      <c r="BW16" s="10">
        <f t="shared" si="42"/>
        <v>2982.3359999999998</v>
      </c>
      <c r="BX16" s="10">
        <f t="shared" si="42"/>
        <v>2978.22</v>
      </c>
      <c r="BY16" s="10">
        <f t="shared" si="42"/>
        <v>2927.6519999999996</v>
      </c>
      <c r="BZ16" s="10">
        <f t="shared" si="42"/>
        <v>3034.08</v>
      </c>
      <c r="CA16" s="10">
        <f t="shared" si="42"/>
        <v>3096.4079999999999</v>
      </c>
      <c r="CB16" s="10">
        <f t="shared" si="42"/>
        <v>3048.192</v>
      </c>
      <c r="CC16" s="10">
        <f t="shared" si="42"/>
        <v>3227.5319999999997</v>
      </c>
      <c r="CD16" s="10">
        <f t="shared" si="42"/>
        <v>2722.44</v>
      </c>
      <c r="CE16" s="10">
        <f t="shared" si="42"/>
        <v>2293.1999999999998</v>
      </c>
      <c r="CF16" s="10">
        <f t="shared" si="42"/>
        <v>2619.54</v>
      </c>
      <c r="CG16" s="10">
        <f t="shared" si="42"/>
        <v>3079.9439999999995</v>
      </c>
      <c r="CH16" s="10">
        <f t="shared" si="42"/>
        <v>3322.788</v>
      </c>
      <c r="CI16" s="10">
        <f t="shared" si="42"/>
        <v>2532.5160000000001</v>
      </c>
      <c r="CJ16" s="84" t="s">
        <v>136</v>
      </c>
      <c r="CK16" s="53" t="s">
        <v>10</v>
      </c>
      <c r="CL16" s="53">
        <v>0.51</v>
      </c>
      <c r="CM16" s="10">
        <f>$CL$16*12*CM39</f>
        <v>2998.1880000000001</v>
      </c>
      <c r="CN16" s="10">
        <f t="shared" ref="CN16:CQ16" si="43">$CL$16*12*CN39</f>
        <v>2790.1079999999997</v>
      </c>
      <c r="CO16" s="10">
        <f t="shared" si="43"/>
        <v>2813.9760000000001</v>
      </c>
      <c r="CP16" s="10">
        <f t="shared" si="43"/>
        <v>3165.2640000000001</v>
      </c>
      <c r="CQ16" s="10">
        <f t="shared" si="43"/>
        <v>3158.5320000000002</v>
      </c>
      <c r="CR16" s="84" t="s">
        <v>150</v>
      </c>
      <c r="CS16" s="53" t="s">
        <v>10</v>
      </c>
      <c r="CT16" s="53">
        <v>0.7</v>
      </c>
      <c r="CU16" s="10">
        <f>$CT$16*12*CU39</f>
        <v>3816.9599999999991</v>
      </c>
      <c r="CV16" s="10">
        <f t="shared" ref="CV16:CZ16" si="44">$CT$16*12*CV39</f>
        <v>3882.4799999999991</v>
      </c>
      <c r="CW16" s="10">
        <f t="shared" si="44"/>
        <v>3912.7199999999993</v>
      </c>
      <c r="CX16" s="10">
        <f t="shared" si="44"/>
        <v>3972.3599999999992</v>
      </c>
      <c r="CY16" s="10">
        <f t="shared" si="44"/>
        <v>3843.8399999999997</v>
      </c>
      <c r="CZ16" s="10">
        <f t="shared" si="44"/>
        <v>3887.5199999999995</v>
      </c>
      <c r="DA16" s="84" t="s">
        <v>108</v>
      </c>
      <c r="DB16" s="53" t="s">
        <v>10</v>
      </c>
      <c r="DC16" s="53">
        <v>0.49</v>
      </c>
      <c r="DD16" s="10">
        <f>$DC$16*12*DD39</f>
        <v>2880.6119999999996</v>
      </c>
      <c r="DE16" s="10">
        <f t="shared" ref="DE16:DW16" si="45">$DC$16*12*DE39</f>
        <v>3260.46</v>
      </c>
      <c r="DF16" s="10">
        <f t="shared" si="45"/>
        <v>5845.308</v>
      </c>
      <c r="DG16" s="10">
        <f t="shared" si="45"/>
        <v>2634.24</v>
      </c>
      <c r="DH16" s="10">
        <f t="shared" si="45"/>
        <v>3322.2</v>
      </c>
      <c r="DI16" s="10">
        <f t="shared" si="45"/>
        <v>3328.6680000000001</v>
      </c>
      <c r="DJ16" s="10">
        <f t="shared" si="45"/>
        <v>2970.576</v>
      </c>
      <c r="DK16" s="10">
        <f t="shared" si="45"/>
        <v>2994.096</v>
      </c>
      <c r="DL16" s="10">
        <f t="shared" si="45"/>
        <v>3345.1319999999996</v>
      </c>
      <c r="DM16" s="10">
        <f t="shared" si="45"/>
        <v>2821.8119999999999</v>
      </c>
      <c r="DN16" s="10">
        <f t="shared" si="45"/>
        <v>3276.9239999999995</v>
      </c>
      <c r="DO16" s="10">
        <f t="shared" si="45"/>
        <v>2653.056</v>
      </c>
      <c r="DP16" s="10">
        <f t="shared" si="45"/>
        <v>4230.0720000000001</v>
      </c>
      <c r="DQ16" s="10">
        <f t="shared" si="45"/>
        <v>2671.2840000000001</v>
      </c>
      <c r="DR16" s="10">
        <f t="shared" si="45"/>
        <v>2818.8719999999998</v>
      </c>
      <c r="DS16" s="10">
        <f t="shared" si="45"/>
        <v>2718.9119999999998</v>
      </c>
      <c r="DT16" s="10">
        <f t="shared" si="45"/>
        <v>2744.1959999999999</v>
      </c>
      <c r="DU16" s="10">
        <f t="shared" si="45"/>
        <v>2471.9519999999998</v>
      </c>
      <c r="DV16" s="10">
        <f t="shared" si="45"/>
        <v>5210.268</v>
      </c>
      <c r="DW16" s="10">
        <f t="shared" si="45"/>
        <v>3138.7439999999997</v>
      </c>
      <c r="DX16" s="84" t="s">
        <v>136</v>
      </c>
      <c r="DY16" s="53" t="s">
        <v>10</v>
      </c>
      <c r="DZ16" s="53">
        <v>0.51</v>
      </c>
      <c r="EA16" s="10">
        <f>$DZ$16*12*EA39</f>
        <v>2998.1880000000001</v>
      </c>
      <c r="EB16" s="10">
        <f t="shared" ref="EB16:EC16" si="46">$DZ$16*12*EB39</f>
        <v>2851.308</v>
      </c>
      <c r="EC16" s="10">
        <f t="shared" si="46"/>
        <v>2863.5479999999998</v>
      </c>
      <c r="ED16" s="84" t="s">
        <v>150</v>
      </c>
      <c r="EE16" s="53" t="s">
        <v>10</v>
      </c>
      <c r="EF16" s="53">
        <v>0.7</v>
      </c>
      <c r="EG16" s="10">
        <f>$EF$16*12*EG39</f>
        <v>3829.559999999999</v>
      </c>
      <c r="EH16" s="99">
        <f>$EF$16*12*EH39</f>
        <v>3492.7199999999993</v>
      </c>
      <c r="EI16" s="126" t="s">
        <v>184</v>
      </c>
      <c r="EJ16" s="127" t="s">
        <v>183</v>
      </c>
      <c r="EK16" s="114">
        <f>0.4*12*EK39</f>
        <v>18073.920000000002</v>
      </c>
      <c r="EL16" s="115">
        <f>0.69*12*EL39</f>
        <v>32675.363999999998</v>
      </c>
      <c r="EM16" s="114">
        <f>(1.13+0.24)*12*EM39</f>
        <v>41693.483999999989</v>
      </c>
      <c r="EN16" s="115">
        <f>0.69*12*EN39</f>
        <v>19120.175999999996</v>
      </c>
      <c r="EO16" s="115">
        <f>0.69*12*EO39</f>
        <v>30926.627999999997</v>
      </c>
      <c r="EP16" s="149"/>
      <c r="EQ16" s="149"/>
      <c r="ER16" s="154"/>
    </row>
    <row r="17" spans="1:148" s="1" customFormat="1" x14ac:dyDescent="0.2">
      <c r="A17" s="54" t="s">
        <v>109</v>
      </c>
      <c r="B17" s="64" t="s">
        <v>22</v>
      </c>
      <c r="C17" s="53">
        <v>0.37</v>
      </c>
      <c r="D17" s="10">
        <f>$C$17*12*D39</f>
        <v>2142.7439999999997</v>
      </c>
      <c r="E17" s="10">
        <f t="shared" ref="E17:BR17" si="47">$C$17*12*E39</f>
        <v>2624.4839999999999</v>
      </c>
      <c r="F17" s="10">
        <f t="shared" si="47"/>
        <v>3212.3399999999997</v>
      </c>
      <c r="G17" s="10">
        <f t="shared" si="47"/>
        <v>2048.172</v>
      </c>
      <c r="H17" s="10">
        <f t="shared" si="47"/>
        <v>1895.8799999999999</v>
      </c>
      <c r="I17" s="10">
        <f t="shared" si="47"/>
        <v>6053.94</v>
      </c>
      <c r="J17" s="10">
        <f t="shared" si="47"/>
        <v>2587.6319999999996</v>
      </c>
      <c r="K17" s="10">
        <f t="shared" si="47"/>
        <v>2577.4199999999996</v>
      </c>
      <c r="L17" s="10">
        <f t="shared" si="47"/>
        <v>2451.768</v>
      </c>
      <c r="M17" s="10">
        <f t="shared" si="47"/>
        <v>2505.9359999999997</v>
      </c>
      <c r="N17" s="10">
        <f t="shared" si="47"/>
        <v>2678.6519999999996</v>
      </c>
      <c r="O17" s="10">
        <f t="shared" si="47"/>
        <v>1536.2399999999998</v>
      </c>
      <c r="P17" s="10">
        <f t="shared" si="47"/>
        <v>3591.9599999999996</v>
      </c>
      <c r="Q17" s="10">
        <f t="shared" si="47"/>
        <v>2770.1159999999995</v>
      </c>
      <c r="R17" s="10">
        <f t="shared" si="47"/>
        <v>2771.0039999999999</v>
      </c>
      <c r="S17" s="10">
        <f t="shared" si="47"/>
        <v>2574.7559999999994</v>
      </c>
      <c r="T17" s="10">
        <f t="shared" si="47"/>
        <v>2064.1559999999995</v>
      </c>
      <c r="U17" s="10">
        <f t="shared" si="47"/>
        <v>2810.5199999999995</v>
      </c>
      <c r="V17" s="10">
        <f t="shared" si="47"/>
        <v>2322.12</v>
      </c>
      <c r="W17" s="10">
        <f t="shared" si="47"/>
        <v>3233.6519999999996</v>
      </c>
      <c r="X17" s="10">
        <f t="shared" si="47"/>
        <v>2187.1439999999998</v>
      </c>
      <c r="Y17" s="10">
        <f t="shared" si="47"/>
        <v>2499.7199999999998</v>
      </c>
      <c r="Z17" s="10">
        <f t="shared" si="47"/>
        <v>1903.8719999999998</v>
      </c>
      <c r="AA17" s="10">
        <f t="shared" ref="AA17" si="48">$C$17*12*AA39</f>
        <v>2656.4519999999993</v>
      </c>
      <c r="AB17" s="10">
        <f t="shared" si="47"/>
        <v>2030.8559999999998</v>
      </c>
      <c r="AC17" s="10">
        <f t="shared" si="47"/>
        <v>2241.7559999999999</v>
      </c>
      <c r="AD17" s="10">
        <f t="shared" si="47"/>
        <v>2110.3319999999999</v>
      </c>
      <c r="AE17" s="10">
        <f t="shared" si="47"/>
        <v>2044.6199999999997</v>
      </c>
      <c r="AF17" s="10">
        <f t="shared" si="47"/>
        <v>2502.828</v>
      </c>
      <c r="AG17" s="10">
        <f t="shared" si="47"/>
        <v>3236.3159999999993</v>
      </c>
      <c r="AH17" s="10">
        <f t="shared" si="47"/>
        <v>2054.3879999999999</v>
      </c>
      <c r="AI17" s="10">
        <f t="shared" ref="AI17" si="49">$C$17*12*AI39</f>
        <v>2024.1959999999997</v>
      </c>
      <c r="AJ17" s="10">
        <f t="shared" si="47"/>
        <v>2293.2599999999998</v>
      </c>
      <c r="AK17" s="10">
        <f t="shared" si="47"/>
        <v>2295.0359999999996</v>
      </c>
      <c r="AL17" s="10">
        <f t="shared" si="47"/>
        <v>2280.384</v>
      </c>
      <c r="AM17" s="10">
        <f t="shared" si="47"/>
        <v>2097.8999999999996</v>
      </c>
      <c r="AN17" s="10">
        <f t="shared" si="47"/>
        <v>2117.4359999999997</v>
      </c>
      <c r="AO17" s="10">
        <f t="shared" si="47"/>
        <v>2142.7439999999997</v>
      </c>
      <c r="AP17" s="10">
        <f t="shared" si="47"/>
        <v>2103.672</v>
      </c>
      <c r="AQ17" s="10">
        <f t="shared" si="47"/>
        <v>2302.14</v>
      </c>
      <c r="AR17" s="10">
        <f t="shared" si="47"/>
        <v>2502.828</v>
      </c>
      <c r="AS17" s="10">
        <f t="shared" si="47"/>
        <v>2138.7479999999996</v>
      </c>
      <c r="AT17" s="10">
        <f t="shared" si="47"/>
        <v>3892.5479999999998</v>
      </c>
      <c r="AU17" s="10">
        <f t="shared" si="47"/>
        <v>2108.9999999999995</v>
      </c>
      <c r="AV17" s="10">
        <f t="shared" si="47"/>
        <v>2024.1959999999997</v>
      </c>
      <c r="AW17" s="10">
        <f t="shared" si="47"/>
        <v>2155.62</v>
      </c>
      <c r="AX17" s="10">
        <f t="shared" si="47"/>
        <v>2556.9959999999996</v>
      </c>
      <c r="AY17" s="10">
        <f t="shared" si="47"/>
        <v>1904.3159999999996</v>
      </c>
      <c r="AZ17" s="10">
        <f t="shared" si="47"/>
        <v>3230.9879999999998</v>
      </c>
      <c r="BA17" s="10">
        <f t="shared" si="47"/>
        <v>1862.5799999999997</v>
      </c>
      <c r="BB17" s="10">
        <f t="shared" si="47"/>
        <v>2643.5759999999996</v>
      </c>
      <c r="BC17" s="10">
        <f t="shared" si="47"/>
        <v>3285.1559999999995</v>
      </c>
      <c r="BD17" s="10">
        <f t="shared" si="47"/>
        <v>4326.3359999999993</v>
      </c>
      <c r="BE17" s="10">
        <f t="shared" si="47"/>
        <v>2523.2519999999995</v>
      </c>
      <c r="BF17" s="10">
        <f t="shared" si="47"/>
        <v>2947.7159999999994</v>
      </c>
      <c r="BG17" s="10">
        <f t="shared" si="47"/>
        <v>2359.4159999999997</v>
      </c>
      <c r="BH17" s="10">
        <f t="shared" si="47"/>
        <v>3569.7599999999998</v>
      </c>
      <c r="BI17" s="10">
        <f t="shared" si="47"/>
        <v>1872.3479999999997</v>
      </c>
      <c r="BJ17" s="10">
        <f t="shared" si="47"/>
        <v>1538.0159999999996</v>
      </c>
      <c r="BK17" s="10">
        <f t="shared" si="47"/>
        <v>2101.8959999999997</v>
      </c>
      <c r="BL17" s="10">
        <f t="shared" si="47"/>
        <v>2164.4999999999995</v>
      </c>
      <c r="BM17" s="10">
        <f t="shared" si="47"/>
        <v>2414.0279999999998</v>
      </c>
      <c r="BN17" s="10">
        <f t="shared" si="47"/>
        <v>2295.0359999999996</v>
      </c>
      <c r="BO17" s="10">
        <f t="shared" si="47"/>
        <v>2605.8359999999998</v>
      </c>
      <c r="BP17" s="10">
        <f t="shared" si="47"/>
        <v>1941.6119999999999</v>
      </c>
      <c r="BQ17" s="10">
        <f t="shared" si="47"/>
        <v>1914.5279999999998</v>
      </c>
      <c r="BR17" s="10">
        <f t="shared" si="47"/>
        <v>2081.4719999999998</v>
      </c>
      <c r="BS17" s="10">
        <f t="shared" ref="BS17:CI17" si="50">$C$17*12*BS39</f>
        <v>2705.2919999999995</v>
      </c>
      <c r="BT17" s="10">
        <f t="shared" si="50"/>
        <v>2454.8759999999997</v>
      </c>
      <c r="BU17" s="10">
        <f t="shared" si="50"/>
        <v>2237.3159999999998</v>
      </c>
      <c r="BV17" s="10">
        <f t="shared" si="50"/>
        <v>2333.6639999999998</v>
      </c>
      <c r="BW17" s="10">
        <f t="shared" si="50"/>
        <v>2251.9679999999998</v>
      </c>
      <c r="BX17" s="10">
        <f t="shared" si="50"/>
        <v>2248.8599999999997</v>
      </c>
      <c r="BY17" s="10">
        <f t="shared" si="50"/>
        <v>2210.6759999999995</v>
      </c>
      <c r="BZ17" s="10">
        <f t="shared" si="50"/>
        <v>2291.04</v>
      </c>
      <c r="CA17" s="10">
        <f t="shared" si="50"/>
        <v>2338.1039999999998</v>
      </c>
      <c r="CB17" s="10">
        <f t="shared" si="50"/>
        <v>2301.6959999999995</v>
      </c>
      <c r="CC17" s="10">
        <f t="shared" si="50"/>
        <v>2437.1159999999995</v>
      </c>
      <c r="CD17" s="10">
        <f t="shared" si="50"/>
        <v>2055.7199999999998</v>
      </c>
      <c r="CE17" s="10">
        <f t="shared" si="50"/>
        <v>1731.6</v>
      </c>
      <c r="CF17" s="10">
        <f t="shared" si="50"/>
        <v>1978.0199999999998</v>
      </c>
      <c r="CG17" s="10">
        <f t="shared" si="50"/>
        <v>2325.6719999999996</v>
      </c>
      <c r="CH17" s="10">
        <f t="shared" si="50"/>
        <v>2509.0439999999999</v>
      </c>
      <c r="CI17" s="10">
        <f t="shared" si="50"/>
        <v>1912.3079999999998</v>
      </c>
      <c r="CJ17" s="84" t="s">
        <v>109</v>
      </c>
      <c r="CK17" s="53" t="s">
        <v>22</v>
      </c>
      <c r="CL17" s="53">
        <v>0.39</v>
      </c>
      <c r="CM17" s="10">
        <f>$CL$17*12*CM39</f>
        <v>2292.732</v>
      </c>
      <c r="CN17" s="10">
        <f t="shared" ref="CN17:CQ17" si="51">$CL$17*12*CN39</f>
        <v>2133.6119999999996</v>
      </c>
      <c r="CO17" s="10">
        <f t="shared" si="51"/>
        <v>2151.864</v>
      </c>
      <c r="CP17" s="10">
        <f t="shared" si="51"/>
        <v>2420.4960000000001</v>
      </c>
      <c r="CQ17" s="10">
        <f t="shared" si="51"/>
        <v>2415.348</v>
      </c>
      <c r="CR17" s="84" t="s">
        <v>151</v>
      </c>
      <c r="CS17" s="53" t="s">
        <v>22</v>
      </c>
      <c r="CT17" s="53">
        <v>0.38</v>
      </c>
      <c r="CU17" s="10">
        <f>$CT$17*12*CU39</f>
        <v>2072.0640000000003</v>
      </c>
      <c r="CV17" s="10">
        <f t="shared" ref="CV17:CZ17" si="52">$CT$17*12*CV39</f>
        <v>2107.6320000000001</v>
      </c>
      <c r="CW17" s="10">
        <f t="shared" si="52"/>
        <v>2124.0480000000002</v>
      </c>
      <c r="CX17" s="10">
        <f t="shared" si="52"/>
        <v>2156.424</v>
      </c>
      <c r="CY17" s="10">
        <f t="shared" si="52"/>
        <v>2086.6560000000004</v>
      </c>
      <c r="CZ17" s="10">
        <f t="shared" si="52"/>
        <v>2110.3680000000004</v>
      </c>
      <c r="DA17" s="84" t="s">
        <v>109</v>
      </c>
      <c r="DB17" s="53" t="s">
        <v>22</v>
      </c>
      <c r="DC17" s="53">
        <v>0.37</v>
      </c>
      <c r="DD17" s="10">
        <f>$DC$17*12*DD39</f>
        <v>2175.1559999999995</v>
      </c>
      <c r="DE17" s="10">
        <f t="shared" ref="DE17:DW17" si="53">$DC$17*12*DE39</f>
        <v>2461.9799999999996</v>
      </c>
      <c r="DF17" s="10">
        <f t="shared" si="53"/>
        <v>4413.8039999999992</v>
      </c>
      <c r="DG17" s="10">
        <f t="shared" si="53"/>
        <v>1989.12</v>
      </c>
      <c r="DH17" s="10">
        <f t="shared" si="53"/>
        <v>2508.6</v>
      </c>
      <c r="DI17" s="10">
        <f t="shared" si="53"/>
        <v>2513.4839999999999</v>
      </c>
      <c r="DJ17" s="10">
        <f t="shared" si="53"/>
        <v>2243.0879999999997</v>
      </c>
      <c r="DK17" s="10">
        <f t="shared" si="53"/>
        <v>2260.8479999999995</v>
      </c>
      <c r="DL17" s="10">
        <f t="shared" si="53"/>
        <v>2525.9159999999997</v>
      </c>
      <c r="DM17" s="10">
        <f t="shared" si="53"/>
        <v>2130.7559999999999</v>
      </c>
      <c r="DN17" s="10">
        <f t="shared" si="53"/>
        <v>2474.4119999999994</v>
      </c>
      <c r="DO17" s="10">
        <f t="shared" si="53"/>
        <v>2003.3279999999997</v>
      </c>
      <c r="DP17" s="10">
        <f t="shared" si="53"/>
        <v>3194.1359999999995</v>
      </c>
      <c r="DQ17" s="10">
        <f t="shared" si="53"/>
        <v>2017.0919999999999</v>
      </c>
      <c r="DR17" s="10">
        <f t="shared" si="53"/>
        <v>2128.5359999999996</v>
      </c>
      <c r="DS17" s="10">
        <f t="shared" si="53"/>
        <v>2053.0559999999996</v>
      </c>
      <c r="DT17" s="10">
        <f t="shared" si="53"/>
        <v>2072.1479999999997</v>
      </c>
      <c r="DU17" s="10">
        <f t="shared" si="53"/>
        <v>1866.5759999999998</v>
      </c>
      <c r="DV17" s="10">
        <f t="shared" si="53"/>
        <v>3934.2839999999997</v>
      </c>
      <c r="DW17" s="10">
        <f t="shared" si="53"/>
        <v>2370.0719999999997</v>
      </c>
      <c r="DX17" s="84" t="s">
        <v>109</v>
      </c>
      <c r="DY17" s="53" t="s">
        <v>22</v>
      </c>
      <c r="DZ17" s="53">
        <v>0.39</v>
      </c>
      <c r="EA17" s="10">
        <f>$DZ$17*12*EA39</f>
        <v>2292.732</v>
      </c>
      <c r="EB17" s="10">
        <f t="shared" ref="EB17:EC17" si="54">$DZ$17*12*EB39</f>
        <v>2180.4119999999998</v>
      </c>
      <c r="EC17" s="10">
        <f t="shared" si="54"/>
        <v>2189.7719999999999</v>
      </c>
      <c r="ED17" s="84" t="s">
        <v>151</v>
      </c>
      <c r="EE17" s="53" t="s">
        <v>22</v>
      </c>
      <c r="EF17" s="53">
        <v>0.38</v>
      </c>
      <c r="EG17" s="10">
        <f>$EF$17*12*EG39</f>
        <v>2078.904</v>
      </c>
      <c r="EH17" s="99">
        <f>$EF$17*12*EH39</f>
        <v>1896.0480000000002</v>
      </c>
      <c r="EI17" s="126" t="s">
        <v>185</v>
      </c>
      <c r="EJ17" s="127" t="s">
        <v>10</v>
      </c>
      <c r="EK17" s="114">
        <f>0.43*12*EK39</f>
        <v>19429.464</v>
      </c>
      <c r="EL17" s="115">
        <f>0.46*12*EL39</f>
        <v>21783.576000000005</v>
      </c>
      <c r="EM17" s="114">
        <f>0.5*12*EM39</f>
        <v>15216.599999999999</v>
      </c>
      <c r="EN17" s="115">
        <f>0.46*12*EN39</f>
        <v>12746.784</v>
      </c>
      <c r="EO17" s="115">
        <f>0.46*12*EO39</f>
        <v>20617.752</v>
      </c>
      <c r="EP17" s="149"/>
      <c r="EQ17" s="149"/>
      <c r="ER17" s="154"/>
    </row>
    <row r="18" spans="1:148" s="1" customFormat="1" ht="57.75" customHeight="1" x14ac:dyDescent="0.2">
      <c r="A18" s="57" t="s">
        <v>110</v>
      </c>
      <c r="B18" s="64" t="s">
        <v>9</v>
      </c>
      <c r="C18" s="53">
        <v>0.6</v>
      </c>
      <c r="D18" s="10">
        <f>$C$18*12*D39</f>
        <v>3474.72</v>
      </c>
      <c r="E18" s="10">
        <f t="shared" ref="E18:BR18" si="55">$C$18*12*E39</f>
        <v>4255.92</v>
      </c>
      <c r="F18" s="10">
        <f t="shared" si="55"/>
        <v>5209.2</v>
      </c>
      <c r="G18" s="10">
        <f t="shared" si="55"/>
        <v>3321.3599999999997</v>
      </c>
      <c r="H18" s="10">
        <f t="shared" si="55"/>
        <v>3074.3999999999996</v>
      </c>
      <c r="I18" s="10">
        <f t="shared" si="55"/>
        <v>9817.1999999999989</v>
      </c>
      <c r="J18" s="10">
        <f t="shared" si="55"/>
        <v>4196.1599999999989</v>
      </c>
      <c r="K18" s="10">
        <f t="shared" si="55"/>
        <v>4179.5999999999995</v>
      </c>
      <c r="L18" s="10">
        <f t="shared" si="55"/>
        <v>3975.84</v>
      </c>
      <c r="M18" s="10">
        <f t="shared" si="55"/>
        <v>4063.6799999999994</v>
      </c>
      <c r="N18" s="10">
        <f t="shared" si="55"/>
        <v>4343.7599999999993</v>
      </c>
      <c r="O18" s="10">
        <f t="shared" si="55"/>
        <v>2491.1999999999998</v>
      </c>
      <c r="P18" s="10">
        <f t="shared" si="55"/>
        <v>5824.7999999999993</v>
      </c>
      <c r="Q18" s="10">
        <f t="shared" si="55"/>
        <v>4492.079999999999</v>
      </c>
      <c r="R18" s="10">
        <f t="shared" si="55"/>
        <v>4493.5199999999995</v>
      </c>
      <c r="S18" s="10">
        <f t="shared" si="55"/>
        <v>4175.28</v>
      </c>
      <c r="T18" s="10">
        <f t="shared" si="55"/>
        <v>3347.2799999999993</v>
      </c>
      <c r="U18" s="10">
        <f t="shared" si="55"/>
        <v>4557.5999999999995</v>
      </c>
      <c r="V18" s="10">
        <f t="shared" si="55"/>
        <v>3765.5999999999995</v>
      </c>
      <c r="W18" s="10">
        <f t="shared" si="55"/>
        <v>5243.7599999999993</v>
      </c>
      <c r="X18" s="10">
        <f t="shared" si="55"/>
        <v>3546.72</v>
      </c>
      <c r="Y18" s="10">
        <f t="shared" si="55"/>
        <v>4053.5999999999995</v>
      </c>
      <c r="Z18" s="10">
        <f t="shared" si="55"/>
        <v>3087.3599999999997</v>
      </c>
      <c r="AA18" s="10">
        <f t="shared" ref="AA18" si="56">$C$18*12*AA39</f>
        <v>4307.7599999999993</v>
      </c>
      <c r="AB18" s="10">
        <f t="shared" si="55"/>
        <v>3293.2799999999993</v>
      </c>
      <c r="AC18" s="10">
        <f t="shared" si="55"/>
        <v>3635.2799999999993</v>
      </c>
      <c r="AD18" s="10">
        <f t="shared" si="55"/>
        <v>3422.16</v>
      </c>
      <c r="AE18" s="10">
        <f t="shared" si="55"/>
        <v>3315.5999999999995</v>
      </c>
      <c r="AF18" s="10">
        <f t="shared" si="55"/>
        <v>4058.64</v>
      </c>
      <c r="AG18" s="10">
        <f t="shared" si="55"/>
        <v>5248.079999999999</v>
      </c>
      <c r="AH18" s="10">
        <f t="shared" si="55"/>
        <v>3331.4399999999996</v>
      </c>
      <c r="AI18" s="10">
        <f t="shared" ref="AI18" si="57">$C$18*12*AI39</f>
        <v>3282.4799999999996</v>
      </c>
      <c r="AJ18" s="10">
        <f t="shared" si="55"/>
        <v>3718.7999999999997</v>
      </c>
      <c r="AK18" s="10">
        <f t="shared" si="55"/>
        <v>3721.6799999999994</v>
      </c>
      <c r="AL18" s="10">
        <f t="shared" si="55"/>
        <v>3697.9199999999996</v>
      </c>
      <c r="AM18" s="10">
        <f t="shared" si="55"/>
        <v>3401.9999999999995</v>
      </c>
      <c r="AN18" s="10">
        <f t="shared" si="55"/>
        <v>3433.6799999999994</v>
      </c>
      <c r="AO18" s="10">
        <f t="shared" si="55"/>
        <v>3474.72</v>
      </c>
      <c r="AP18" s="10">
        <f t="shared" si="55"/>
        <v>3411.3599999999997</v>
      </c>
      <c r="AQ18" s="10">
        <f t="shared" si="55"/>
        <v>3733.2</v>
      </c>
      <c r="AR18" s="10">
        <f t="shared" si="55"/>
        <v>4058.64</v>
      </c>
      <c r="AS18" s="10">
        <f t="shared" si="55"/>
        <v>3468.24</v>
      </c>
      <c r="AT18" s="10">
        <f t="shared" si="55"/>
        <v>6312.24</v>
      </c>
      <c r="AU18" s="10">
        <f t="shared" si="55"/>
        <v>3419.9999999999995</v>
      </c>
      <c r="AV18" s="10">
        <f t="shared" si="55"/>
        <v>3282.4799999999996</v>
      </c>
      <c r="AW18" s="10">
        <f t="shared" si="55"/>
        <v>3495.5999999999995</v>
      </c>
      <c r="AX18" s="10">
        <f t="shared" si="55"/>
        <v>4146.4799999999996</v>
      </c>
      <c r="AY18" s="10">
        <f t="shared" si="55"/>
        <v>3088.0799999999995</v>
      </c>
      <c r="AZ18" s="10">
        <f t="shared" si="55"/>
        <v>5239.4399999999996</v>
      </c>
      <c r="BA18" s="10">
        <f t="shared" si="55"/>
        <v>3020.3999999999996</v>
      </c>
      <c r="BB18" s="10">
        <f t="shared" si="55"/>
        <v>4286.8799999999992</v>
      </c>
      <c r="BC18" s="10">
        <f t="shared" si="55"/>
        <v>5327.28</v>
      </c>
      <c r="BD18" s="10">
        <f t="shared" si="55"/>
        <v>7015.6799999999994</v>
      </c>
      <c r="BE18" s="10">
        <f t="shared" si="55"/>
        <v>4091.7599999999993</v>
      </c>
      <c r="BF18" s="10">
        <f t="shared" si="55"/>
        <v>4780.079999999999</v>
      </c>
      <c r="BG18" s="10">
        <f t="shared" si="55"/>
        <v>3826.0799999999995</v>
      </c>
      <c r="BH18" s="10">
        <f t="shared" si="55"/>
        <v>5788.7999999999993</v>
      </c>
      <c r="BI18" s="10">
        <f t="shared" si="55"/>
        <v>3036.24</v>
      </c>
      <c r="BJ18" s="10">
        <f t="shared" si="55"/>
        <v>2494.0799999999995</v>
      </c>
      <c r="BK18" s="10">
        <f t="shared" si="55"/>
        <v>3408.4799999999996</v>
      </c>
      <c r="BL18" s="10">
        <f t="shared" si="55"/>
        <v>3509.9999999999995</v>
      </c>
      <c r="BM18" s="10">
        <f t="shared" si="55"/>
        <v>3914.64</v>
      </c>
      <c r="BN18" s="10">
        <f t="shared" si="55"/>
        <v>3721.6799999999994</v>
      </c>
      <c r="BO18" s="10">
        <f t="shared" si="55"/>
        <v>4225.6799999999994</v>
      </c>
      <c r="BP18" s="10">
        <f t="shared" si="55"/>
        <v>3148.56</v>
      </c>
      <c r="BQ18" s="10">
        <f t="shared" si="55"/>
        <v>3104.6399999999994</v>
      </c>
      <c r="BR18" s="10">
        <f t="shared" si="55"/>
        <v>3375.3599999999997</v>
      </c>
      <c r="BS18" s="10">
        <f t="shared" ref="BS18:CI18" si="58">$C$18*12*BS39</f>
        <v>4386.9599999999991</v>
      </c>
      <c r="BT18" s="10">
        <f t="shared" si="58"/>
        <v>3980.8799999999997</v>
      </c>
      <c r="BU18" s="10">
        <f t="shared" si="58"/>
        <v>3628.0799999999995</v>
      </c>
      <c r="BV18" s="10">
        <f t="shared" si="58"/>
        <v>3784.3199999999997</v>
      </c>
      <c r="BW18" s="10">
        <f t="shared" si="58"/>
        <v>3651.8399999999997</v>
      </c>
      <c r="BX18" s="10">
        <f t="shared" si="58"/>
        <v>3646.7999999999997</v>
      </c>
      <c r="BY18" s="10">
        <f t="shared" si="58"/>
        <v>3584.8799999999997</v>
      </c>
      <c r="BZ18" s="10">
        <f t="shared" si="58"/>
        <v>3715.2</v>
      </c>
      <c r="CA18" s="10">
        <f t="shared" si="58"/>
        <v>3791.52</v>
      </c>
      <c r="CB18" s="10">
        <f t="shared" si="58"/>
        <v>3732.4799999999996</v>
      </c>
      <c r="CC18" s="10">
        <f t="shared" si="58"/>
        <v>3952.0799999999995</v>
      </c>
      <c r="CD18" s="10">
        <f t="shared" si="58"/>
        <v>3333.5999999999995</v>
      </c>
      <c r="CE18" s="10">
        <f t="shared" si="58"/>
        <v>2807.9999999999995</v>
      </c>
      <c r="CF18" s="10">
        <f t="shared" si="58"/>
        <v>3207.6</v>
      </c>
      <c r="CG18" s="10">
        <f t="shared" si="58"/>
        <v>3771.3599999999992</v>
      </c>
      <c r="CH18" s="10">
        <f t="shared" si="58"/>
        <v>4068.72</v>
      </c>
      <c r="CI18" s="10">
        <f t="shared" si="58"/>
        <v>3101.0399999999995</v>
      </c>
      <c r="CJ18" s="88" t="s">
        <v>110</v>
      </c>
      <c r="CK18" s="89" t="s">
        <v>9</v>
      </c>
      <c r="CL18" s="53">
        <v>0.62</v>
      </c>
      <c r="CM18" s="10">
        <f>$CL$18*12*CM39</f>
        <v>3644.8559999999998</v>
      </c>
      <c r="CN18" s="10">
        <f t="shared" ref="CN18:CQ18" si="59">$CL$18*12*CN39</f>
        <v>3391.8959999999997</v>
      </c>
      <c r="CO18" s="10">
        <f t="shared" si="59"/>
        <v>3420.9119999999998</v>
      </c>
      <c r="CP18" s="10">
        <f t="shared" si="59"/>
        <v>3847.9680000000003</v>
      </c>
      <c r="CQ18" s="10">
        <f t="shared" si="59"/>
        <v>3839.7840000000001</v>
      </c>
      <c r="CR18" s="88" t="s">
        <v>152</v>
      </c>
      <c r="CS18" s="89" t="s">
        <v>9</v>
      </c>
      <c r="CT18" s="53">
        <v>0.54</v>
      </c>
      <c r="CU18" s="10">
        <f>$CT$18*12*CU39</f>
        <v>2944.5120000000002</v>
      </c>
      <c r="CV18" s="10">
        <f t="shared" ref="CV18:CZ18" si="60">$CT$18*12*CV39</f>
        <v>2995.056</v>
      </c>
      <c r="CW18" s="10">
        <f t="shared" si="60"/>
        <v>3018.3840000000005</v>
      </c>
      <c r="CX18" s="10">
        <f t="shared" si="60"/>
        <v>3064.3920000000003</v>
      </c>
      <c r="CY18" s="10">
        <f t="shared" si="60"/>
        <v>2965.2480000000005</v>
      </c>
      <c r="CZ18" s="10">
        <f t="shared" si="60"/>
        <v>2998.9440000000004</v>
      </c>
      <c r="DA18" s="88" t="s">
        <v>110</v>
      </c>
      <c r="DB18" s="89" t="s">
        <v>9</v>
      </c>
      <c r="DC18" s="53">
        <v>0.6</v>
      </c>
      <c r="DD18" s="10">
        <f>$DC$18*12*DD39</f>
        <v>3527.2799999999993</v>
      </c>
      <c r="DE18" s="10">
        <f t="shared" ref="DE18:DW18" si="61">$DC$18*12*DE39</f>
        <v>3992.3999999999996</v>
      </c>
      <c r="DF18" s="10">
        <f t="shared" si="61"/>
        <v>7157.5199999999995</v>
      </c>
      <c r="DG18" s="10">
        <f t="shared" si="61"/>
        <v>3225.5999999999995</v>
      </c>
      <c r="DH18" s="10">
        <f t="shared" si="61"/>
        <v>4067.9999999999995</v>
      </c>
      <c r="DI18" s="10">
        <f t="shared" si="61"/>
        <v>4075.9199999999996</v>
      </c>
      <c r="DJ18" s="10">
        <f t="shared" si="61"/>
        <v>3637.4399999999996</v>
      </c>
      <c r="DK18" s="10">
        <f t="shared" si="61"/>
        <v>3666.24</v>
      </c>
      <c r="DL18" s="10">
        <f t="shared" si="61"/>
        <v>4096.079999999999</v>
      </c>
      <c r="DM18" s="10">
        <f t="shared" si="61"/>
        <v>3455.2799999999993</v>
      </c>
      <c r="DN18" s="10">
        <f t="shared" si="61"/>
        <v>4012.5599999999995</v>
      </c>
      <c r="DO18" s="10">
        <f t="shared" si="61"/>
        <v>3248.6399999999994</v>
      </c>
      <c r="DP18" s="10">
        <f t="shared" si="61"/>
        <v>5179.6799999999994</v>
      </c>
      <c r="DQ18" s="10">
        <f t="shared" si="61"/>
        <v>3270.9599999999996</v>
      </c>
      <c r="DR18" s="10">
        <f t="shared" si="61"/>
        <v>3451.6799999999994</v>
      </c>
      <c r="DS18" s="10">
        <f t="shared" si="61"/>
        <v>3329.2799999999993</v>
      </c>
      <c r="DT18" s="10">
        <f t="shared" si="61"/>
        <v>3360.24</v>
      </c>
      <c r="DU18" s="10">
        <f t="shared" si="61"/>
        <v>3026.8799999999997</v>
      </c>
      <c r="DV18" s="10">
        <f t="shared" si="61"/>
        <v>6379.9199999999992</v>
      </c>
      <c r="DW18" s="10">
        <f t="shared" si="61"/>
        <v>3843.3599999999992</v>
      </c>
      <c r="DX18" s="88" t="s">
        <v>110</v>
      </c>
      <c r="DY18" s="89" t="s">
        <v>9</v>
      </c>
      <c r="DZ18" s="53">
        <v>0.62</v>
      </c>
      <c r="EA18" s="10">
        <f>$DZ$18*12*EA39</f>
        <v>3644.8559999999998</v>
      </c>
      <c r="EB18" s="10">
        <f t="shared" ref="EB18:EC18" si="62">$DZ$18*12*EB39</f>
        <v>3466.2959999999998</v>
      </c>
      <c r="EC18" s="10">
        <f t="shared" si="62"/>
        <v>3481.1759999999995</v>
      </c>
      <c r="ED18" s="88" t="s">
        <v>152</v>
      </c>
      <c r="EE18" s="89" t="s">
        <v>9</v>
      </c>
      <c r="EF18" s="53">
        <v>0.54</v>
      </c>
      <c r="EG18" s="10">
        <f>$EF$18*12*EG39</f>
        <v>2954.232</v>
      </c>
      <c r="EH18" s="99">
        <f>$EF$18*12*EH39</f>
        <v>2694.3840000000005</v>
      </c>
      <c r="EI18" s="126" t="s">
        <v>186</v>
      </c>
      <c r="EJ18" s="127" t="s">
        <v>187</v>
      </c>
      <c r="EK18" s="114">
        <v>0</v>
      </c>
      <c r="EL18" s="115">
        <f>0.12*12*EL39</f>
        <v>5682.6720000000005</v>
      </c>
      <c r="EM18" s="114">
        <f>0.1*12*EM39</f>
        <v>3043.32</v>
      </c>
      <c r="EN18" s="115">
        <f>0.12*12*EN39</f>
        <v>3325.2479999999996</v>
      </c>
      <c r="EO18" s="115">
        <f>0.12*12*EO39</f>
        <v>5378.5439999999999</v>
      </c>
      <c r="EP18" s="149"/>
      <c r="EQ18" s="149"/>
      <c r="ER18" s="154"/>
    </row>
    <row r="19" spans="1:148" s="1" customFormat="1" ht="38.25" customHeight="1" x14ac:dyDescent="0.2">
      <c r="A19" s="54" t="s">
        <v>111</v>
      </c>
      <c r="B19" s="64" t="s">
        <v>126</v>
      </c>
      <c r="C19" s="53">
        <v>7.0000000000000007E-2</v>
      </c>
      <c r="D19" s="10">
        <f>$C$19*12*D39</f>
        <v>405.38400000000007</v>
      </c>
      <c r="E19" s="10">
        <f t="shared" ref="E19:BR19" si="63">$C$19*12*E39</f>
        <v>496.52400000000006</v>
      </c>
      <c r="F19" s="10">
        <f t="shared" si="63"/>
        <v>607.74</v>
      </c>
      <c r="G19" s="10">
        <f t="shared" si="63"/>
        <v>387.49200000000002</v>
      </c>
      <c r="H19" s="10">
        <f t="shared" si="63"/>
        <v>358.68</v>
      </c>
      <c r="I19" s="10">
        <f t="shared" si="63"/>
        <v>1145.3400000000001</v>
      </c>
      <c r="J19" s="10">
        <f t="shared" si="63"/>
        <v>489.55200000000002</v>
      </c>
      <c r="K19" s="10">
        <f t="shared" si="63"/>
        <v>487.62000000000006</v>
      </c>
      <c r="L19" s="10">
        <f t="shared" si="63"/>
        <v>463.84800000000007</v>
      </c>
      <c r="M19" s="10">
        <f t="shared" si="63"/>
        <v>474.096</v>
      </c>
      <c r="N19" s="10">
        <f t="shared" si="63"/>
        <v>506.77199999999999</v>
      </c>
      <c r="O19" s="10">
        <f t="shared" si="63"/>
        <v>290.64000000000004</v>
      </c>
      <c r="P19" s="10">
        <f t="shared" si="63"/>
        <v>679.56000000000006</v>
      </c>
      <c r="Q19" s="10">
        <f t="shared" si="63"/>
        <v>524.07600000000002</v>
      </c>
      <c r="R19" s="10">
        <f t="shared" si="63"/>
        <v>524.24400000000003</v>
      </c>
      <c r="S19" s="10">
        <f t="shared" si="63"/>
        <v>487.11600000000004</v>
      </c>
      <c r="T19" s="10">
        <f t="shared" si="63"/>
        <v>390.51600000000002</v>
      </c>
      <c r="U19" s="10">
        <f t="shared" si="63"/>
        <v>531.72</v>
      </c>
      <c r="V19" s="10">
        <f t="shared" si="63"/>
        <v>439.32000000000005</v>
      </c>
      <c r="W19" s="10">
        <f t="shared" si="63"/>
        <v>611.77200000000005</v>
      </c>
      <c r="X19" s="10">
        <f t="shared" si="63"/>
        <v>413.78400000000005</v>
      </c>
      <c r="Y19" s="10">
        <f t="shared" si="63"/>
        <v>472.92000000000007</v>
      </c>
      <c r="Z19" s="10">
        <f t="shared" si="63"/>
        <v>360.19200000000006</v>
      </c>
      <c r="AA19" s="10">
        <f t="shared" ref="AA19" si="64">$C$19*12*AA39</f>
        <v>502.572</v>
      </c>
      <c r="AB19" s="10">
        <f t="shared" si="63"/>
        <v>384.21600000000001</v>
      </c>
      <c r="AC19" s="10">
        <f t="shared" si="63"/>
        <v>424.11600000000004</v>
      </c>
      <c r="AD19" s="10">
        <f t="shared" si="63"/>
        <v>399.25200000000007</v>
      </c>
      <c r="AE19" s="10">
        <f t="shared" si="63"/>
        <v>386.82000000000005</v>
      </c>
      <c r="AF19" s="10">
        <f t="shared" si="63"/>
        <v>473.5080000000001</v>
      </c>
      <c r="AG19" s="10">
        <f t="shared" si="63"/>
        <v>612.27600000000007</v>
      </c>
      <c r="AH19" s="10">
        <f t="shared" si="63"/>
        <v>388.66800000000001</v>
      </c>
      <c r="AI19" s="10">
        <f t="shared" ref="AI19" si="65">$C$19*12*AI39</f>
        <v>382.95600000000002</v>
      </c>
      <c r="AJ19" s="10">
        <f t="shared" si="63"/>
        <v>433.86</v>
      </c>
      <c r="AK19" s="10">
        <f t="shared" si="63"/>
        <v>434.19600000000003</v>
      </c>
      <c r="AL19" s="10">
        <f t="shared" si="63"/>
        <v>431.42400000000004</v>
      </c>
      <c r="AM19" s="10">
        <f t="shared" si="63"/>
        <v>396.90000000000003</v>
      </c>
      <c r="AN19" s="10">
        <f t="shared" si="63"/>
        <v>400.596</v>
      </c>
      <c r="AO19" s="10">
        <f t="shared" si="63"/>
        <v>405.38400000000007</v>
      </c>
      <c r="AP19" s="10">
        <f t="shared" si="63"/>
        <v>397.99200000000008</v>
      </c>
      <c r="AQ19" s="10">
        <f t="shared" si="63"/>
        <v>435.54</v>
      </c>
      <c r="AR19" s="10">
        <f t="shared" si="63"/>
        <v>473.5080000000001</v>
      </c>
      <c r="AS19" s="10">
        <f t="shared" si="63"/>
        <v>404.62800000000004</v>
      </c>
      <c r="AT19" s="10">
        <f t="shared" si="63"/>
        <v>736.42800000000011</v>
      </c>
      <c r="AU19" s="10">
        <f t="shared" si="63"/>
        <v>399.00000000000006</v>
      </c>
      <c r="AV19" s="10">
        <f t="shared" si="63"/>
        <v>382.95600000000002</v>
      </c>
      <c r="AW19" s="10">
        <f t="shared" si="63"/>
        <v>407.82000000000005</v>
      </c>
      <c r="AX19" s="10">
        <f t="shared" si="63"/>
        <v>483.75600000000003</v>
      </c>
      <c r="AY19" s="10">
        <f t="shared" si="63"/>
        <v>360.27600000000001</v>
      </c>
      <c r="AZ19" s="10">
        <f t="shared" si="63"/>
        <v>611.26800000000014</v>
      </c>
      <c r="BA19" s="10">
        <f t="shared" si="63"/>
        <v>352.38000000000005</v>
      </c>
      <c r="BB19" s="10">
        <f t="shared" si="63"/>
        <v>500.13600000000002</v>
      </c>
      <c r="BC19" s="10">
        <f t="shared" si="63"/>
        <v>621.51600000000008</v>
      </c>
      <c r="BD19" s="10">
        <f t="shared" si="63"/>
        <v>818.49600000000009</v>
      </c>
      <c r="BE19" s="10">
        <f t="shared" si="63"/>
        <v>477.37200000000001</v>
      </c>
      <c r="BF19" s="10">
        <f t="shared" si="63"/>
        <v>557.67600000000004</v>
      </c>
      <c r="BG19" s="10">
        <f t="shared" si="63"/>
        <v>446.37600000000003</v>
      </c>
      <c r="BH19" s="10">
        <f t="shared" si="63"/>
        <v>675.36</v>
      </c>
      <c r="BI19" s="10">
        <f t="shared" si="63"/>
        <v>354.22800000000001</v>
      </c>
      <c r="BJ19" s="10">
        <f t="shared" si="63"/>
        <v>290.976</v>
      </c>
      <c r="BK19" s="10">
        <f t="shared" si="63"/>
        <v>397.65600000000001</v>
      </c>
      <c r="BL19" s="10">
        <f t="shared" si="63"/>
        <v>409.50000000000006</v>
      </c>
      <c r="BM19" s="10">
        <f t="shared" si="63"/>
        <v>456.70800000000008</v>
      </c>
      <c r="BN19" s="10">
        <f t="shared" si="63"/>
        <v>434.19600000000003</v>
      </c>
      <c r="BO19" s="10">
        <f t="shared" si="63"/>
        <v>492.99600000000004</v>
      </c>
      <c r="BP19" s="10">
        <f t="shared" si="63"/>
        <v>367.33200000000005</v>
      </c>
      <c r="BQ19" s="10">
        <f t="shared" si="63"/>
        <v>362.20800000000003</v>
      </c>
      <c r="BR19" s="10">
        <f t="shared" si="63"/>
        <v>393.79200000000003</v>
      </c>
      <c r="BS19" s="10">
        <f t="shared" ref="BS19:CI19" si="66">$C$19*12*BS39</f>
        <v>511.81200000000001</v>
      </c>
      <c r="BT19" s="10">
        <f t="shared" si="66"/>
        <v>464.43600000000004</v>
      </c>
      <c r="BU19" s="10">
        <f t="shared" si="66"/>
        <v>423.27600000000001</v>
      </c>
      <c r="BV19" s="10">
        <f t="shared" si="66"/>
        <v>441.50400000000008</v>
      </c>
      <c r="BW19" s="10">
        <f t="shared" si="66"/>
        <v>426.04800000000006</v>
      </c>
      <c r="BX19" s="10">
        <f t="shared" si="66"/>
        <v>425.46000000000004</v>
      </c>
      <c r="BY19" s="10">
        <f t="shared" si="66"/>
        <v>418.23600000000005</v>
      </c>
      <c r="BZ19" s="10">
        <f t="shared" si="66"/>
        <v>433.44000000000005</v>
      </c>
      <c r="CA19" s="10">
        <f t="shared" si="66"/>
        <v>442.34400000000005</v>
      </c>
      <c r="CB19" s="10">
        <f t="shared" si="66"/>
        <v>435.45600000000002</v>
      </c>
      <c r="CC19" s="10">
        <f t="shared" si="66"/>
        <v>461.07600000000002</v>
      </c>
      <c r="CD19" s="10">
        <f t="shared" si="66"/>
        <v>388.92</v>
      </c>
      <c r="CE19" s="10">
        <f t="shared" si="66"/>
        <v>327.60000000000002</v>
      </c>
      <c r="CF19" s="10">
        <f t="shared" si="66"/>
        <v>374.22</v>
      </c>
      <c r="CG19" s="10">
        <f t="shared" si="66"/>
        <v>439.99200000000002</v>
      </c>
      <c r="CH19" s="10">
        <f t="shared" si="66"/>
        <v>474.68400000000008</v>
      </c>
      <c r="CI19" s="10">
        <f t="shared" si="66"/>
        <v>361.78800000000001</v>
      </c>
      <c r="CJ19" s="85" t="s">
        <v>111</v>
      </c>
      <c r="CK19" s="53" t="s">
        <v>137</v>
      </c>
      <c r="CL19" s="53">
        <v>0.08</v>
      </c>
      <c r="CM19" s="10">
        <f>$CL$19*12*CM39</f>
        <v>470.30399999999997</v>
      </c>
      <c r="CN19" s="10">
        <f t="shared" ref="CN19:CQ19" si="67">$CL$19*12*CN39</f>
        <v>437.66399999999999</v>
      </c>
      <c r="CO19" s="10">
        <f t="shared" si="67"/>
        <v>441.40800000000002</v>
      </c>
      <c r="CP19" s="10">
        <f t="shared" si="67"/>
        <v>496.512</v>
      </c>
      <c r="CQ19" s="10">
        <f t="shared" si="67"/>
        <v>495.45600000000002</v>
      </c>
      <c r="CR19" s="85" t="s">
        <v>153</v>
      </c>
      <c r="CS19" s="53" t="s">
        <v>137</v>
      </c>
      <c r="CT19" s="53">
        <v>0.06</v>
      </c>
      <c r="CU19" s="10">
        <f>$CT$19*12*CU39</f>
        <v>327.16799999999995</v>
      </c>
      <c r="CV19" s="10">
        <f t="shared" ref="CV19:CZ19" si="68">$CT$19*12*CV39</f>
        <v>332.78399999999999</v>
      </c>
      <c r="CW19" s="10">
        <f t="shared" si="68"/>
        <v>335.37599999999998</v>
      </c>
      <c r="CX19" s="10">
        <f t="shared" si="68"/>
        <v>340.48799999999994</v>
      </c>
      <c r="CY19" s="10">
        <f t="shared" si="68"/>
        <v>329.47199999999998</v>
      </c>
      <c r="CZ19" s="10">
        <f t="shared" si="68"/>
        <v>333.21600000000001</v>
      </c>
      <c r="DA19" s="85" t="s">
        <v>111</v>
      </c>
      <c r="DB19" s="53" t="s">
        <v>126</v>
      </c>
      <c r="DC19" s="53">
        <v>7.0000000000000007E-2</v>
      </c>
      <c r="DD19" s="10">
        <f>$DC$19*12*DD39</f>
        <v>411.51600000000002</v>
      </c>
      <c r="DE19" s="10">
        <f t="shared" ref="DE19:DW19" si="69">$DC$19*12*DE39</f>
        <v>465.78000000000003</v>
      </c>
      <c r="DF19" s="10">
        <f t="shared" si="69"/>
        <v>835.0440000000001</v>
      </c>
      <c r="DG19" s="10">
        <f t="shared" si="69"/>
        <v>376.32000000000005</v>
      </c>
      <c r="DH19" s="10">
        <f t="shared" si="69"/>
        <v>474.6</v>
      </c>
      <c r="DI19" s="10">
        <f t="shared" si="69"/>
        <v>475.52400000000006</v>
      </c>
      <c r="DJ19" s="10">
        <f t="shared" si="69"/>
        <v>424.36800000000005</v>
      </c>
      <c r="DK19" s="10">
        <f t="shared" si="69"/>
        <v>427.72800000000001</v>
      </c>
      <c r="DL19" s="10">
        <f t="shared" si="69"/>
        <v>477.87600000000003</v>
      </c>
      <c r="DM19" s="10">
        <f t="shared" si="69"/>
        <v>403.11600000000004</v>
      </c>
      <c r="DN19" s="10">
        <f t="shared" si="69"/>
        <v>468.13200000000001</v>
      </c>
      <c r="DO19" s="10">
        <f t="shared" si="69"/>
        <v>379.00800000000004</v>
      </c>
      <c r="DP19" s="10">
        <f t="shared" si="69"/>
        <v>604.29600000000005</v>
      </c>
      <c r="DQ19" s="10">
        <f t="shared" si="69"/>
        <v>381.61200000000002</v>
      </c>
      <c r="DR19" s="10">
        <f t="shared" si="69"/>
        <v>402.69600000000003</v>
      </c>
      <c r="DS19" s="10">
        <f t="shared" si="69"/>
        <v>388.416</v>
      </c>
      <c r="DT19" s="10">
        <f t="shared" si="69"/>
        <v>392.02800000000002</v>
      </c>
      <c r="DU19" s="10">
        <f t="shared" si="69"/>
        <v>353.13600000000002</v>
      </c>
      <c r="DV19" s="10">
        <f t="shared" si="69"/>
        <v>744.32400000000007</v>
      </c>
      <c r="DW19" s="10">
        <f t="shared" si="69"/>
        <v>448.392</v>
      </c>
      <c r="DX19" s="85" t="s">
        <v>111</v>
      </c>
      <c r="DY19" s="53" t="s">
        <v>137</v>
      </c>
      <c r="DZ19" s="53">
        <v>0.08</v>
      </c>
      <c r="EA19" s="10">
        <f>$DZ$19*12*EA39</f>
        <v>470.30399999999997</v>
      </c>
      <c r="EB19" s="10">
        <f t="shared" ref="EB19:EC19" si="70">$DZ$19*12*EB39</f>
        <v>447.26399999999995</v>
      </c>
      <c r="EC19" s="10">
        <f t="shared" si="70"/>
        <v>449.18399999999997</v>
      </c>
      <c r="ED19" s="85" t="s">
        <v>153</v>
      </c>
      <c r="EE19" s="53" t="s">
        <v>137</v>
      </c>
      <c r="EF19" s="53">
        <v>0.06</v>
      </c>
      <c r="EG19" s="10">
        <f>$EF$19*12*EG39</f>
        <v>328.24799999999999</v>
      </c>
      <c r="EH19" s="99">
        <f>$EF$19*12*EH39</f>
        <v>299.37599999999998</v>
      </c>
      <c r="EI19" s="126" t="s">
        <v>188</v>
      </c>
      <c r="EJ19" s="127" t="s">
        <v>183</v>
      </c>
      <c r="EK19" s="114">
        <f>0.4*12*EK39</f>
        <v>18073.920000000002</v>
      </c>
      <c r="EL19" s="115">
        <f>0.31*12*EL39</f>
        <v>14680.235999999999</v>
      </c>
      <c r="EM19" s="114">
        <f>(0.2+0.38)*12*EM39</f>
        <v>17651.256000000001</v>
      </c>
      <c r="EN19" s="115">
        <f>0.31*12*EN39</f>
        <v>8590.2239999999983</v>
      </c>
      <c r="EO19" s="115">
        <f>0.31*12*EO39</f>
        <v>13894.571999999998</v>
      </c>
      <c r="EP19" s="149"/>
      <c r="EQ19" s="149"/>
      <c r="ER19" s="154"/>
    </row>
    <row r="20" spans="1:148" s="1" customFormat="1" ht="25.5" x14ac:dyDescent="0.2">
      <c r="A20" s="54" t="s">
        <v>112</v>
      </c>
      <c r="B20" s="64" t="s">
        <v>127</v>
      </c>
      <c r="C20" s="53">
        <v>2.4900000000000002</v>
      </c>
      <c r="D20" s="10">
        <f>$C$20*12*D39</f>
        <v>14420.088000000002</v>
      </c>
      <c r="E20" s="10">
        <f t="shared" ref="E20:BR20" si="71">$C$20*12*E39</f>
        <v>17662.068000000003</v>
      </c>
      <c r="F20" s="10">
        <f t="shared" si="71"/>
        <v>21618.18</v>
      </c>
      <c r="G20" s="10">
        <f t="shared" si="71"/>
        <v>13783.644000000002</v>
      </c>
      <c r="H20" s="10">
        <f t="shared" si="71"/>
        <v>12758.76</v>
      </c>
      <c r="I20" s="10">
        <f t="shared" si="71"/>
        <v>40741.380000000005</v>
      </c>
      <c r="J20" s="10">
        <f t="shared" si="71"/>
        <v>17414.063999999998</v>
      </c>
      <c r="K20" s="10">
        <f t="shared" si="71"/>
        <v>17345.34</v>
      </c>
      <c r="L20" s="10">
        <f t="shared" si="71"/>
        <v>16499.736000000004</v>
      </c>
      <c r="M20" s="10">
        <f t="shared" si="71"/>
        <v>16864.272000000001</v>
      </c>
      <c r="N20" s="10">
        <f t="shared" si="71"/>
        <v>18026.603999999999</v>
      </c>
      <c r="O20" s="10">
        <f t="shared" si="71"/>
        <v>10338.480000000001</v>
      </c>
      <c r="P20" s="10">
        <f t="shared" si="71"/>
        <v>24172.920000000002</v>
      </c>
      <c r="Q20" s="10">
        <f t="shared" si="71"/>
        <v>18642.132000000001</v>
      </c>
      <c r="R20" s="10">
        <f t="shared" si="71"/>
        <v>18648.108000000004</v>
      </c>
      <c r="S20" s="10">
        <f t="shared" si="71"/>
        <v>17327.412</v>
      </c>
      <c r="T20" s="10">
        <f t="shared" si="71"/>
        <v>13891.212000000001</v>
      </c>
      <c r="U20" s="10">
        <f t="shared" si="71"/>
        <v>18914.04</v>
      </c>
      <c r="V20" s="10">
        <f t="shared" si="71"/>
        <v>15627.240000000002</v>
      </c>
      <c r="W20" s="10">
        <f t="shared" si="71"/>
        <v>21761.603999999999</v>
      </c>
      <c r="X20" s="10">
        <f t="shared" si="71"/>
        <v>14718.888000000003</v>
      </c>
      <c r="Y20" s="10">
        <f t="shared" si="71"/>
        <v>16822.440000000002</v>
      </c>
      <c r="Z20" s="10">
        <f t="shared" si="71"/>
        <v>12812.544000000002</v>
      </c>
      <c r="AA20" s="10">
        <f t="shared" ref="AA20" si="72">$C$20*12*AA39</f>
        <v>17877.204000000002</v>
      </c>
      <c r="AB20" s="10">
        <f t="shared" si="71"/>
        <v>13667.112000000001</v>
      </c>
      <c r="AC20" s="10">
        <f t="shared" si="71"/>
        <v>15086.412</v>
      </c>
      <c r="AD20" s="10">
        <f t="shared" si="71"/>
        <v>14201.964000000002</v>
      </c>
      <c r="AE20" s="10">
        <f t="shared" si="71"/>
        <v>13759.740000000002</v>
      </c>
      <c r="AF20" s="10">
        <f t="shared" si="71"/>
        <v>16843.356000000003</v>
      </c>
      <c r="AG20" s="10">
        <f t="shared" si="71"/>
        <v>21779.532000000003</v>
      </c>
      <c r="AH20" s="10">
        <f t="shared" si="71"/>
        <v>13825.476000000001</v>
      </c>
      <c r="AI20" s="10">
        <f t="shared" ref="AI20" si="73">$C$20*12*AI39</f>
        <v>13622.292000000001</v>
      </c>
      <c r="AJ20" s="10">
        <f t="shared" si="71"/>
        <v>15433.02</v>
      </c>
      <c r="AK20" s="10">
        <f t="shared" si="71"/>
        <v>15444.972</v>
      </c>
      <c r="AL20" s="10">
        <f t="shared" si="71"/>
        <v>15346.368000000002</v>
      </c>
      <c r="AM20" s="10">
        <f t="shared" si="71"/>
        <v>14118.300000000001</v>
      </c>
      <c r="AN20" s="10">
        <f t="shared" si="71"/>
        <v>14249.772000000001</v>
      </c>
      <c r="AO20" s="10">
        <f t="shared" si="71"/>
        <v>14420.088000000002</v>
      </c>
      <c r="AP20" s="10">
        <f t="shared" si="71"/>
        <v>14157.144000000002</v>
      </c>
      <c r="AQ20" s="10">
        <f t="shared" si="71"/>
        <v>15492.78</v>
      </c>
      <c r="AR20" s="10">
        <f t="shared" si="71"/>
        <v>16843.356000000003</v>
      </c>
      <c r="AS20" s="10">
        <f t="shared" si="71"/>
        <v>14393.196000000002</v>
      </c>
      <c r="AT20" s="10">
        <f t="shared" si="71"/>
        <v>26195.796000000002</v>
      </c>
      <c r="AU20" s="10">
        <f t="shared" si="71"/>
        <v>14193.000000000002</v>
      </c>
      <c r="AV20" s="10">
        <f t="shared" si="71"/>
        <v>13622.292000000001</v>
      </c>
      <c r="AW20" s="10">
        <f t="shared" si="71"/>
        <v>14506.740000000002</v>
      </c>
      <c r="AX20" s="10">
        <f t="shared" si="71"/>
        <v>17207.892</v>
      </c>
      <c r="AY20" s="10">
        <f t="shared" si="71"/>
        <v>12815.532000000001</v>
      </c>
      <c r="AZ20" s="10">
        <f t="shared" si="71"/>
        <v>21743.676000000003</v>
      </c>
      <c r="BA20" s="10">
        <f t="shared" si="71"/>
        <v>12534.660000000002</v>
      </c>
      <c r="BB20" s="10">
        <f t="shared" si="71"/>
        <v>17790.552</v>
      </c>
      <c r="BC20" s="10">
        <f t="shared" si="71"/>
        <v>22108.212</v>
      </c>
      <c r="BD20" s="10">
        <f t="shared" si="71"/>
        <v>29115.072</v>
      </c>
      <c r="BE20" s="10">
        <f t="shared" si="71"/>
        <v>16980.804</v>
      </c>
      <c r="BF20" s="10">
        <f t="shared" si="71"/>
        <v>19837.332000000002</v>
      </c>
      <c r="BG20" s="10">
        <f t="shared" si="71"/>
        <v>15878.232</v>
      </c>
      <c r="BH20" s="10">
        <f t="shared" si="71"/>
        <v>24023.52</v>
      </c>
      <c r="BI20" s="10">
        <f t="shared" si="71"/>
        <v>12600.396000000001</v>
      </c>
      <c r="BJ20" s="10">
        <f t="shared" si="71"/>
        <v>10350.432000000001</v>
      </c>
      <c r="BK20" s="10">
        <f t="shared" si="71"/>
        <v>14145.192000000001</v>
      </c>
      <c r="BL20" s="10">
        <f t="shared" si="71"/>
        <v>14566.500000000002</v>
      </c>
      <c r="BM20" s="10">
        <f t="shared" si="71"/>
        <v>16245.756000000003</v>
      </c>
      <c r="BN20" s="10">
        <f t="shared" si="71"/>
        <v>15444.972</v>
      </c>
      <c r="BO20" s="10">
        <f t="shared" si="71"/>
        <v>17536.572</v>
      </c>
      <c r="BP20" s="10">
        <f t="shared" si="71"/>
        <v>13066.524000000001</v>
      </c>
      <c r="BQ20" s="10">
        <f t="shared" si="71"/>
        <v>12884.256000000001</v>
      </c>
      <c r="BR20" s="10">
        <f t="shared" si="71"/>
        <v>14007.744000000002</v>
      </c>
      <c r="BS20" s="10">
        <f t="shared" ref="BS20:CI20" si="74">$C$20*12*BS39</f>
        <v>18205.884000000002</v>
      </c>
      <c r="BT20" s="10">
        <f t="shared" si="74"/>
        <v>16520.652000000002</v>
      </c>
      <c r="BU20" s="10">
        <f t="shared" si="74"/>
        <v>15056.532000000001</v>
      </c>
      <c r="BV20" s="10">
        <f t="shared" si="74"/>
        <v>15704.928000000002</v>
      </c>
      <c r="BW20" s="10">
        <f t="shared" si="74"/>
        <v>15155.136</v>
      </c>
      <c r="BX20" s="10">
        <f t="shared" si="74"/>
        <v>15134.220000000001</v>
      </c>
      <c r="BY20" s="10">
        <f t="shared" si="74"/>
        <v>14877.252</v>
      </c>
      <c r="BZ20" s="10">
        <f t="shared" si="74"/>
        <v>15418.080000000002</v>
      </c>
      <c r="CA20" s="10">
        <f t="shared" si="74"/>
        <v>15734.808000000003</v>
      </c>
      <c r="CB20" s="10">
        <f t="shared" si="74"/>
        <v>15489.792000000001</v>
      </c>
      <c r="CC20" s="10">
        <f t="shared" si="74"/>
        <v>16401.132000000001</v>
      </c>
      <c r="CD20" s="10">
        <f t="shared" si="74"/>
        <v>13834.44</v>
      </c>
      <c r="CE20" s="10">
        <f t="shared" si="74"/>
        <v>11653.2</v>
      </c>
      <c r="CF20" s="10">
        <f t="shared" si="74"/>
        <v>13311.54</v>
      </c>
      <c r="CG20" s="10">
        <f t="shared" si="74"/>
        <v>15651.144</v>
      </c>
      <c r="CH20" s="10">
        <f t="shared" si="74"/>
        <v>16885.188000000002</v>
      </c>
      <c r="CI20" s="10">
        <f t="shared" si="74"/>
        <v>12869.316000000001</v>
      </c>
      <c r="CJ20" s="84" t="s">
        <v>112</v>
      </c>
      <c r="CK20" s="90" t="s">
        <v>138</v>
      </c>
      <c r="CL20" s="53">
        <v>2.4900000000000002</v>
      </c>
      <c r="CM20" s="10">
        <f>$CL$20*12*CM39</f>
        <v>14638.212000000001</v>
      </c>
      <c r="CN20" s="10">
        <f t="shared" ref="CN20:CQ20" si="75">$CL$20*12*CN39</f>
        <v>13622.292000000001</v>
      </c>
      <c r="CO20" s="10">
        <f t="shared" si="75"/>
        <v>13738.824000000002</v>
      </c>
      <c r="CP20" s="10">
        <f t="shared" si="75"/>
        <v>15453.936000000003</v>
      </c>
      <c r="CQ20" s="10">
        <f t="shared" si="75"/>
        <v>15421.068000000001</v>
      </c>
      <c r="CR20" s="84" t="s">
        <v>154</v>
      </c>
      <c r="CS20" s="90" t="s">
        <v>155</v>
      </c>
      <c r="CT20" s="53">
        <v>3.34</v>
      </c>
      <c r="CU20" s="10">
        <f>$CT$20*12*CU39</f>
        <v>18212.351999999999</v>
      </c>
      <c r="CV20" s="10">
        <f t="shared" ref="CV20:CZ20" si="76">$CT$20*12*CV39</f>
        <v>18524.975999999999</v>
      </c>
      <c r="CW20" s="10">
        <f t="shared" si="76"/>
        <v>18669.263999999999</v>
      </c>
      <c r="CX20" s="10">
        <f t="shared" si="76"/>
        <v>18953.831999999999</v>
      </c>
      <c r="CY20" s="10">
        <f t="shared" si="76"/>
        <v>18340.608</v>
      </c>
      <c r="CZ20" s="10">
        <f t="shared" si="76"/>
        <v>18549.024000000001</v>
      </c>
      <c r="DA20" s="84" t="s">
        <v>112</v>
      </c>
      <c r="DB20" s="90" t="s">
        <v>127</v>
      </c>
      <c r="DC20" s="53">
        <v>2.4900000000000002</v>
      </c>
      <c r="DD20" s="10">
        <f>$DC$20*12*DD39</f>
        <v>14638.212000000001</v>
      </c>
      <c r="DE20" s="10">
        <f t="shared" ref="DE20:DW20" si="77">$DC$20*12*DE39</f>
        <v>16568.460000000003</v>
      </c>
      <c r="DF20" s="10">
        <f t="shared" si="77"/>
        <v>29703.708000000002</v>
      </c>
      <c r="DG20" s="10">
        <f t="shared" si="77"/>
        <v>13386.240000000002</v>
      </c>
      <c r="DH20" s="10">
        <f t="shared" si="77"/>
        <v>16882.2</v>
      </c>
      <c r="DI20" s="10">
        <f t="shared" si="77"/>
        <v>16915.068000000003</v>
      </c>
      <c r="DJ20" s="10">
        <f t="shared" si="77"/>
        <v>15095.376</v>
      </c>
      <c r="DK20" s="10">
        <f t="shared" si="77"/>
        <v>15214.896000000001</v>
      </c>
      <c r="DL20" s="10">
        <f t="shared" si="77"/>
        <v>16998.732</v>
      </c>
      <c r="DM20" s="10">
        <f t="shared" si="77"/>
        <v>14339.412</v>
      </c>
      <c r="DN20" s="10">
        <f t="shared" si="77"/>
        <v>16652.124</v>
      </c>
      <c r="DO20" s="10">
        <f t="shared" si="77"/>
        <v>13481.856000000002</v>
      </c>
      <c r="DP20" s="10">
        <f t="shared" si="77"/>
        <v>21495.672000000002</v>
      </c>
      <c r="DQ20" s="10">
        <f t="shared" si="77"/>
        <v>13574.484000000002</v>
      </c>
      <c r="DR20" s="10">
        <f t="shared" si="77"/>
        <v>14324.472</v>
      </c>
      <c r="DS20" s="10">
        <f t="shared" si="77"/>
        <v>13816.512000000001</v>
      </c>
      <c r="DT20" s="10">
        <f t="shared" si="77"/>
        <v>13944.996000000001</v>
      </c>
      <c r="DU20" s="10">
        <f t="shared" si="77"/>
        <v>12561.552</v>
      </c>
      <c r="DV20" s="10">
        <f t="shared" si="77"/>
        <v>26476.668000000001</v>
      </c>
      <c r="DW20" s="10">
        <f t="shared" si="77"/>
        <v>15949.944</v>
      </c>
      <c r="DX20" s="84" t="s">
        <v>112</v>
      </c>
      <c r="DY20" s="90" t="s">
        <v>138</v>
      </c>
      <c r="DZ20" s="53">
        <v>2.4900000000000002</v>
      </c>
      <c r="EA20" s="10">
        <f>$DZ$20*12*EA39</f>
        <v>14638.212000000001</v>
      </c>
      <c r="EB20" s="10">
        <f t="shared" ref="EB20:EC20" si="78">$DZ$20*12*EB39</f>
        <v>13921.092000000001</v>
      </c>
      <c r="EC20" s="10">
        <f t="shared" si="78"/>
        <v>13980.852000000001</v>
      </c>
      <c r="ED20" s="84" t="s">
        <v>154</v>
      </c>
      <c r="EE20" s="90" t="s">
        <v>155</v>
      </c>
      <c r="EF20" s="53">
        <v>3.34</v>
      </c>
      <c r="EG20" s="10">
        <f>$EF$20*12*EG39</f>
        <v>18272.471999999998</v>
      </c>
      <c r="EH20" s="99">
        <f>$EF$20*12*EH39</f>
        <v>16665.263999999999</v>
      </c>
      <c r="EI20" s="126" t="s">
        <v>189</v>
      </c>
      <c r="EJ20" s="127" t="s">
        <v>187</v>
      </c>
      <c r="EK20" s="114">
        <f>0.11*12*EK39</f>
        <v>4970.3280000000004</v>
      </c>
      <c r="EL20" s="115">
        <f>0.17*12*EL39</f>
        <v>8050.4520000000002</v>
      </c>
      <c r="EM20" s="114">
        <v>0</v>
      </c>
      <c r="EN20" s="115">
        <f>0.17*12*EN39</f>
        <v>4710.768</v>
      </c>
      <c r="EO20" s="115">
        <f>0.17*12*EO39</f>
        <v>7619.6040000000003</v>
      </c>
      <c r="EP20" s="149"/>
      <c r="EQ20" s="149"/>
      <c r="ER20" s="154"/>
    </row>
    <row r="21" spans="1:148" s="46" customFormat="1" ht="12.75" customHeight="1" x14ac:dyDescent="0.2">
      <c r="A21" s="65"/>
      <c r="B21" s="66"/>
      <c r="C21" s="67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84"/>
      <c r="CK21" s="53"/>
      <c r="CL21" s="53"/>
      <c r="CM21" s="45"/>
      <c r="CN21" s="45"/>
      <c r="CO21" s="45"/>
      <c r="CP21" s="45"/>
      <c r="CQ21" s="45"/>
      <c r="CR21" s="84" t="s">
        <v>156</v>
      </c>
      <c r="CS21" s="53" t="s">
        <v>3</v>
      </c>
      <c r="CT21" s="53">
        <v>4.04</v>
      </c>
      <c r="CU21" s="10">
        <f>$CT$21*12*CU39</f>
        <v>22029.312000000002</v>
      </c>
      <c r="CV21" s="10">
        <f t="shared" ref="CV21:CZ21" si="79">$CT$21*12*CV39</f>
        <v>22407.456000000002</v>
      </c>
      <c r="CW21" s="10">
        <f t="shared" si="79"/>
        <v>22581.984000000004</v>
      </c>
      <c r="CX21" s="10">
        <f t="shared" si="79"/>
        <v>22926.191999999999</v>
      </c>
      <c r="CY21" s="10">
        <f t="shared" si="79"/>
        <v>22184.448000000004</v>
      </c>
      <c r="CZ21" s="10">
        <f t="shared" si="79"/>
        <v>22436.544000000002</v>
      </c>
      <c r="DA21" s="84"/>
      <c r="DB21" s="53"/>
      <c r="DC21" s="53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84"/>
      <c r="DY21" s="53"/>
      <c r="DZ21" s="53"/>
      <c r="EA21" s="10"/>
      <c r="EB21" s="10"/>
      <c r="EC21" s="10"/>
      <c r="ED21" s="84" t="s">
        <v>156</v>
      </c>
      <c r="EE21" s="53" t="s">
        <v>3</v>
      </c>
      <c r="EF21" s="53">
        <v>4.04</v>
      </c>
      <c r="EG21" s="10">
        <f>$EF$21*EG39*12</f>
        <v>22102.031999999999</v>
      </c>
      <c r="EH21" s="99">
        <f>$EF$21*EH39*12</f>
        <v>20157.984</v>
      </c>
      <c r="EI21" s="126" t="s">
        <v>190</v>
      </c>
      <c r="EJ21" s="129" t="s">
        <v>9</v>
      </c>
      <c r="EK21" s="114">
        <f>0.7*12*EK39</f>
        <v>31629.359999999997</v>
      </c>
      <c r="EL21" s="115">
        <f>0.54*12*EL39</f>
        <v>25572.024000000001</v>
      </c>
      <c r="EM21" s="114">
        <f>0.99*12*EM39</f>
        <v>30128.867999999995</v>
      </c>
      <c r="EN21" s="115">
        <f>0.54*12*EN39</f>
        <v>14963.616</v>
      </c>
      <c r="EO21" s="115">
        <f>0.54*12*EO39</f>
        <v>24203.448</v>
      </c>
      <c r="EP21" s="149"/>
      <c r="EQ21" s="149"/>
      <c r="ER21" s="155"/>
    </row>
    <row r="22" spans="1:148" s="46" customFormat="1" ht="12.75" customHeight="1" x14ac:dyDescent="0.2">
      <c r="A22" s="96"/>
      <c r="B22" s="66"/>
      <c r="C22" s="67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97"/>
      <c r="CK22" s="53"/>
      <c r="CL22" s="53"/>
      <c r="CM22" s="45"/>
      <c r="CN22" s="45"/>
      <c r="CO22" s="45"/>
      <c r="CP22" s="45"/>
      <c r="CQ22" s="45"/>
      <c r="CR22" s="97"/>
      <c r="CS22" s="53"/>
      <c r="CT22" s="53"/>
      <c r="CU22" s="10"/>
      <c r="CV22" s="10"/>
      <c r="CW22" s="10"/>
      <c r="CX22" s="10"/>
      <c r="CY22" s="10"/>
      <c r="CZ22" s="10"/>
      <c r="DA22" s="97"/>
      <c r="DB22" s="53"/>
      <c r="DC22" s="53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97"/>
      <c r="DY22" s="53"/>
      <c r="DZ22" s="53"/>
      <c r="EA22" s="10"/>
      <c r="EB22" s="10"/>
      <c r="EC22" s="10"/>
      <c r="ED22" s="97"/>
      <c r="EE22" s="53"/>
      <c r="EF22" s="53"/>
      <c r="EG22" s="10"/>
      <c r="EH22" s="99"/>
      <c r="EI22" s="126" t="s">
        <v>191</v>
      </c>
      <c r="EJ22" s="127" t="s">
        <v>10</v>
      </c>
      <c r="EK22" s="114">
        <f>2.45*12*EK39</f>
        <v>110702.76000000001</v>
      </c>
      <c r="EL22" s="115">
        <f>2.48*12*EL39</f>
        <v>117441.88799999999</v>
      </c>
      <c r="EM22" s="114">
        <f>2.6*12*EM39</f>
        <v>79126.320000000007</v>
      </c>
      <c r="EN22" s="115">
        <f>2.48*12*EN39</f>
        <v>68721.791999999987</v>
      </c>
      <c r="EO22" s="115">
        <f>2.48*12*EO39</f>
        <v>111156.57599999999</v>
      </c>
      <c r="EP22" s="149"/>
      <c r="EQ22" s="149"/>
      <c r="ER22" s="155"/>
    </row>
    <row r="23" spans="1:148" s="46" customFormat="1" ht="12.75" customHeight="1" x14ac:dyDescent="0.2">
      <c r="A23" s="96"/>
      <c r="B23" s="66"/>
      <c r="C23" s="67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97"/>
      <c r="CK23" s="53"/>
      <c r="CL23" s="53"/>
      <c r="CM23" s="45"/>
      <c r="CN23" s="45"/>
      <c r="CO23" s="45"/>
      <c r="CP23" s="45"/>
      <c r="CQ23" s="45"/>
      <c r="CR23" s="97"/>
      <c r="CS23" s="53"/>
      <c r="CT23" s="53"/>
      <c r="CU23" s="10"/>
      <c r="CV23" s="10"/>
      <c r="CW23" s="10"/>
      <c r="CX23" s="10"/>
      <c r="CY23" s="10"/>
      <c r="CZ23" s="10"/>
      <c r="DA23" s="97"/>
      <c r="DB23" s="53"/>
      <c r="DC23" s="53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97"/>
      <c r="DY23" s="53"/>
      <c r="DZ23" s="53"/>
      <c r="EA23" s="10"/>
      <c r="EB23" s="10"/>
      <c r="EC23" s="10"/>
      <c r="ED23" s="97"/>
      <c r="EE23" s="53"/>
      <c r="EF23" s="53"/>
      <c r="EG23" s="10"/>
      <c r="EH23" s="99"/>
      <c r="EI23" s="124" t="s">
        <v>8</v>
      </c>
      <c r="EJ23" s="128"/>
      <c r="EK23" s="116">
        <f>SUM(EK24:EK27)</f>
        <v>139169.18400000001</v>
      </c>
      <c r="EL23" s="116">
        <f>SUM(EL24:EL27)</f>
        <v>167638.82400000002</v>
      </c>
      <c r="EM23" s="116">
        <f>SUM(EM24:EM27)</f>
        <v>172556.24400000001</v>
      </c>
      <c r="EN23" s="116">
        <f>SUM(EN24:EN27)</f>
        <v>98094.816000000006</v>
      </c>
      <c r="EO23" s="116">
        <f>SUM(EO24:EO27)</f>
        <v>158667.04800000001</v>
      </c>
      <c r="EP23" s="109"/>
      <c r="EQ23" s="109"/>
      <c r="ER23" s="155"/>
    </row>
    <row r="24" spans="1:148" s="1" customFormat="1" ht="27" customHeight="1" x14ac:dyDescent="0.2">
      <c r="A24" s="55" t="s">
        <v>8</v>
      </c>
      <c r="B24" s="64"/>
      <c r="C24" s="58">
        <f>SUM(C25:C27)</f>
        <v>2.1399999999999997</v>
      </c>
      <c r="D24" s="11">
        <f>SUM(D25:D27)</f>
        <v>12393.167999999998</v>
      </c>
      <c r="E24" s="11">
        <f t="shared" ref="E24:BR24" si="80">SUM(E25:E27)</f>
        <v>15179.448</v>
      </c>
      <c r="F24" s="11">
        <f t="shared" si="80"/>
        <v>18579.48</v>
      </c>
      <c r="G24" s="11">
        <f t="shared" si="80"/>
        <v>11846.183999999999</v>
      </c>
      <c r="H24" s="11">
        <f t="shared" si="80"/>
        <v>10965.36</v>
      </c>
      <c r="I24" s="11">
        <f t="shared" si="80"/>
        <v>35014.679999999993</v>
      </c>
      <c r="J24" s="11">
        <f t="shared" si="80"/>
        <v>14966.303999999998</v>
      </c>
      <c r="K24" s="11">
        <f t="shared" si="80"/>
        <v>14907.239999999998</v>
      </c>
      <c r="L24" s="11">
        <f t="shared" si="80"/>
        <v>14180.496000000001</v>
      </c>
      <c r="M24" s="11">
        <f t="shared" si="80"/>
        <v>14493.791999999998</v>
      </c>
      <c r="N24" s="11">
        <f t="shared" si="80"/>
        <v>15492.743999999999</v>
      </c>
      <c r="O24" s="11">
        <f t="shared" si="80"/>
        <v>8885.2799999999988</v>
      </c>
      <c r="P24" s="11">
        <f t="shared" si="80"/>
        <v>20775.12</v>
      </c>
      <c r="Q24" s="11">
        <f t="shared" si="80"/>
        <v>16021.751999999997</v>
      </c>
      <c r="R24" s="11">
        <f t="shared" si="80"/>
        <v>16026.887999999999</v>
      </c>
      <c r="S24" s="11">
        <f t="shared" si="80"/>
        <v>14891.831999999999</v>
      </c>
      <c r="T24" s="11">
        <f t="shared" si="80"/>
        <v>11938.631999999998</v>
      </c>
      <c r="U24" s="11">
        <f t="shared" si="80"/>
        <v>16255.439999999999</v>
      </c>
      <c r="V24" s="11">
        <f t="shared" si="80"/>
        <v>13430.64</v>
      </c>
      <c r="W24" s="11">
        <f t="shared" si="80"/>
        <v>18702.743999999995</v>
      </c>
      <c r="X24" s="11">
        <f t="shared" si="80"/>
        <v>12649.968000000001</v>
      </c>
      <c r="Y24" s="11">
        <f t="shared" si="80"/>
        <v>14457.839999999997</v>
      </c>
      <c r="Z24" s="11">
        <f t="shared" si="80"/>
        <v>11011.583999999999</v>
      </c>
      <c r="AA24" s="11">
        <f t="shared" ref="AA24" si="81">SUM(AA25:AA27)</f>
        <v>15364.343999999997</v>
      </c>
      <c r="AB24" s="11">
        <f t="shared" si="80"/>
        <v>11746.031999999999</v>
      </c>
      <c r="AC24" s="11">
        <f t="shared" si="80"/>
        <v>12965.831999999999</v>
      </c>
      <c r="AD24" s="11">
        <f t="shared" si="80"/>
        <v>12205.703999999998</v>
      </c>
      <c r="AE24" s="11">
        <f t="shared" si="80"/>
        <v>11825.64</v>
      </c>
      <c r="AF24" s="11">
        <f t="shared" si="80"/>
        <v>14475.816000000001</v>
      </c>
      <c r="AG24" s="11">
        <f t="shared" si="80"/>
        <v>18718.151999999995</v>
      </c>
      <c r="AH24" s="11">
        <f t="shared" si="80"/>
        <v>11882.135999999999</v>
      </c>
      <c r="AI24" s="11">
        <f t="shared" ref="AI24" si="82">SUM(AI25:AI27)</f>
        <v>11707.511999999999</v>
      </c>
      <c r="AJ24" s="11">
        <f t="shared" si="80"/>
        <v>13263.72</v>
      </c>
      <c r="AK24" s="11">
        <f t="shared" si="80"/>
        <v>13273.991999999998</v>
      </c>
      <c r="AL24" s="11">
        <f t="shared" si="80"/>
        <v>13189.248</v>
      </c>
      <c r="AM24" s="11">
        <f t="shared" si="80"/>
        <v>12133.8</v>
      </c>
      <c r="AN24" s="11">
        <f t="shared" si="80"/>
        <v>12246.791999999998</v>
      </c>
      <c r="AO24" s="11">
        <f t="shared" si="80"/>
        <v>12393.167999999998</v>
      </c>
      <c r="AP24" s="11">
        <f t="shared" si="80"/>
        <v>12167.183999999999</v>
      </c>
      <c r="AQ24" s="11">
        <f t="shared" si="80"/>
        <v>13315.079999999998</v>
      </c>
      <c r="AR24" s="11">
        <f t="shared" si="80"/>
        <v>14475.816000000001</v>
      </c>
      <c r="AS24" s="11">
        <f t="shared" si="80"/>
        <v>12370.055999999997</v>
      </c>
      <c r="AT24" s="11">
        <f t="shared" si="80"/>
        <v>22513.655999999999</v>
      </c>
      <c r="AU24" s="11">
        <f t="shared" si="80"/>
        <v>12198</v>
      </c>
      <c r="AV24" s="11">
        <f t="shared" si="80"/>
        <v>11707.511999999999</v>
      </c>
      <c r="AW24" s="11">
        <f t="shared" si="80"/>
        <v>12467.64</v>
      </c>
      <c r="AX24" s="11">
        <f t="shared" si="80"/>
        <v>14789.111999999997</v>
      </c>
      <c r="AY24" s="11">
        <f t="shared" si="80"/>
        <v>11014.151999999998</v>
      </c>
      <c r="AZ24" s="11">
        <f t="shared" si="80"/>
        <v>18687.335999999999</v>
      </c>
      <c r="BA24" s="11">
        <f t="shared" si="80"/>
        <v>10772.759999999998</v>
      </c>
      <c r="BB24" s="11">
        <f t="shared" si="80"/>
        <v>15289.871999999999</v>
      </c>
      <c r="BC24" s="11">
        <f t="shared" si="80"/>
        <v>19000.631999999998</v>
      </c>
      <c r="BD24" s="11">
        <f t="shared" si="80"/>
        <v>25022.591999999997</v>
      </c>
      <c r="BE24" s="11">
        <f t="shared" si="80"/>
        <v>14593.943999999996</v>
      </c>
      <c r="BF24" s="11">
        <f t="shared" si="80"/>
        <v>17048.951999999997</v>
      </c>
      <c r="BG24" s="11">
        <f t="shared" si="80"/>
        <v>13646.351999999999</v>
      </c>
      <c r="BH24" s="11">
        <f t="shared" si="80"/>
        <v>20646.72</v>
      </c>
      <c r="BI24" s="11">
        <f t="shared" si="80"/>
        <v>10829.255999999998</v>
      </c>
      <c r="BJ24" s="11">
        <f t="shared" si="80"/>
        <v>8895.5519999999997</v>
      </c>
      <c r="BK24" s="11">
        <f t="shared" si="80"/>
        <v>12156.911999999998</v>
      </c>
      <c r="BL24" s="11">
        <f t="shared" si="80"/>
        <v>12519</v>
      </c>
      <c r="BM24" s="11">
        <f t="shared" si="80"/>
        <v>13962.216</v>
      </c>
      <c r="BN24" s="11">
        <f t="shared" si="80"/>
        <v>13273.991999999998</v>
      </c>
      <c r="BO24" s="11">
        <f t="shared" si="80"/>
        <v>15071.591999999999</v>
      </c>
      <c r="BP24" s="11">
        <f t="shared" si="80"/>
        <v>11229.864</v>
      </c>
      <c r="BQ24" s="11">
        <f t="shared" si="80"/>
        <v>11073.215999999999</v>
      </c>
      <c r="BR24" s="11">
        <f t="shared" si="80"/>
        <v>12038.784</v>
      </c>
      <c r="BS24" s="11">
        <f t="shared" ref="BS24:CI24" si="83">SUM(BS25:BS27)</f>
        <v>15646.823999999997</v>
      </c>
      <c r="BT24" s="11">
        <f t="shared" si="83"/>
        <v>14198.471999999998</v>
      </c>
      <c r="BU24" s="11">
        <f t="shared" si="83"/>
        <v>12940.151999999998</v>
      </c>
      <c r="BV24" s="11">
        <f t="shared" si="83"/>
        <v>13497.407999999999</v>
      </c>
      <c r="BW24" s="11">
        <f t="shared" si="83"/>
        <v>13024.895999999999</v>
      </c>
      <c r="BX24" s="11">
        <f t="shared" si="83"/>
        <v>13006.919999999998</v>
      </c>
      <c r="BY24" s="11">
        <f t="shared" si="83"/>
        <v>12786.071999999998</v>
      </c>
      <c r="BZ24" s="11">
        <f t="shared" si="83"/>
        <v>13250.88</v>
      </c>
      <c r="CA24" s="11">
        <f t="shared" si="83"/>
        <v>13523.088</v>
      </c>
      <c r="CB24" s="11">
        <f t="shared" si="83"/>
        <v>13312.511999999999</v>
      </c>
      <c r="CC24" s="11">
        <f t="shared" si="83"/>
        <v>14095.751999999997</v>
      </c>
      <c r="CD24" s="11">
        <f t="shared" si="83"/>
        <v>11889.84</v>
      </c>
      <c r="CE24" s="11">
        <f t="shared" si="83"/>
        <v>10015.199999999999</v>
      </c>
      <c r="CF24" s="11">
        <f t="shared" si="83"/>
        <v>11440.439999999999</v>
      </c>
      <c r="CG24" s="11">
        <f t="shared" si="83"/>
        <v>13451.183999999997</v>
      </c>
      <c r="CH24" s="11">
        <f t="shared" si="83"/>
        <v>14511.768</v>
      </c>
      <c r="CI24" s="11">
        <f t="shared" si="83"/>
        <v>11060.375999999998</v>
      </c>
      <c r="CJ24" s="87" t="s">
        <v>8</v>
      </c>
      <c r="CK24" s="83"/>
      <c r="CL24" s="58">
        <f>SUM(CL25:CL27)</f>
        <v>4.93</v>
      </c>
      <c r="CM24" s="11">
        <f>SUM(CM25:CM27)</f>
        <v>28982.484</v>
      </c>
      <c r="CN24" s="11">
        <f t="shared" ref="CN24:CQ24" si="84">SUM(CN25:CN27)</f>
        <v>26971.044000000002</v>
      </c>
      <c r="CO24" s="11">
        <f t="shared" si="84"/>
        <v>27201.768</v>
      </c>
      <c r="CP24" s="11">
        <f t="shared" si="84"/>
        <v>30597.552000000003</v>
      </c>
      <c r="CQ24" s="11">
        <f t="shared" si="84"/>
        <v>30532.476000000002</v>
      </c>
      <c r="CR24" s="87" t="s">
        <v>8</v>
      </c>
      <c r="CS24" s="83"/>
      <c r="CT24" s="58">
        <f>SUM(CT25:CT27)</f>
        <v>3.36</v>
      </c>
      <c r="CU24" s="11">
        <f>SUM(CU25:CU27)</f>
        <v>18321.407999999999</v>
      </c>
      <c r="CV24" s="11">
        <f t="shared" ref="CV24:CZ24" si="85">SUM(CV25:CV27)</f>
        <v>18635.904000000002</v>
      </c>
      <c r="CW24" s="11">
        <f t="shared" si="85"/>
        <v>18781.056</v>
      </c>
      <c r="CX24" s="11">
        <f t="shared" si="85"/>
        <v>19067.328000000001</v>
      </c>
      <c r="CY24" s="11">
        <f t="shared" si="85"/>
        <v>18450.432000000001</v>
      </c>
      <c r="CZ24" s="11">
        <f t="shared" si="85"/>
        <v>18660.095999999998</v>
      </c>
      <c r="DA24" s="87" t="s">
        <v>8</v>
      </c>
      <c r="DB24" s="83"/>
      <c r="DC24" s="58">
        <f>SUM(DC25:DC27)</f>
        <v>2.1399999999999997</v>
      </c>
      <c r="DD24" s="11">
        <f>SUM(DD25:DD27)</f>
        <v>12580.631999999998</v>
      </c>
      <c r="DE24" s="11">
        <f t="shared" ref="DE24:DW24" si="86">SUM(DE25:DE27)</f>
        <v>14239.56</v>
      </c>
      <c r="DF24" s="11">
        <f t="shared" si="86"/>
        <v>25528.487999999998</v>
      </c>
      <c r="DG24" s="11">
        <f t="shared" si="86"/>
        <v>11504.64</v>
      </c>
      <c r="DH24" s="11">
        <f t="shared" si="86"/>
        <v>14509.199999999999</v>
      </c>
      <c r="DI24" s="11">
        <f t="shared" si="86"/>
        <v>14537.448</v>
      </c>
      <c r="DJ24" s="11">
        <f t="shared" si="86"/>
        <v>12973.536</v>
      </c>
      <c r="DK24" s="11">
        <f t="shared" si="86"/>
        <v>13076.255999999998</v>
      </c>
      <c r="DL24" s="11">
        <f t="shared" si="86"/>
        <v>14609.351999999999</v>
      </c>
      <c r="DM24" s="11">
        <f t="shared" si="86"/>
        <v>12323.831999999999</v>
      </c>
      <c r="DN24" s="11">
        <f t="shared" si="86"/>
        <v>14311.463999999998</v>
      </c>
      <c r="DO24" s="11">
        <f t="shared" si="86"/>
        <v>11586.815999999999</v>
      </c>
      <c r="DP24" s="11">
        <f t="shared" si="86"/>
        <v>18474.191999999995</v>
      </c>
      <c r="DQ24" s="11">
        <f t="shared" si="86"/>
        <v>11666.423999999999</v>
      </c>
      <c r="DR24" s="11">
        <f t="shared" si="86"/>
        <v>12310.991999999998</v>
      </c>
      <c r="DS24" s="11">
        <f t="shared" si="86"/>
        <v>11874.431999999999</v>
      </c>
      <c r="DT24" s="11">
        <f t="shared" si="86"/>
        <v>11984.856</v>
      </c>
      <c r="DU24" s="11">
        <f t="shared" si="86"/>
        <v>10795.871999999998</v>
      </c>
      <c r="DV24" s="11">
        <f t="shared" si="86"/>
        <v>22755.047999999999</v>
      </c>
      <c r="DW24" s="11">
        <f t="shared" si="86"/>
        <v>13707.983999999997</v>
      </c>
      <c r="DX24" s="87" t="s">
        <v>8</v>
      </c>
      <c r="DY24" s="83"/>
      <c r="DZ24" s="58">
        <f>SUM(DZ25:DZ27)</f>
        <v>3.49</v>
      </c>
      <c r="EA24" s="11">
        <f>SUM(EA25:EA27)</f>
        <v>20517.011999999999</v>
      </c>
      <c r="EB24" s="11">
        <f t="shared" ref="EB24:EC24" si="87">SUM(EB25:EB27)</f>
        <v>19511.892</v>
      </c>
      <c r="EC24" s="11">
        <f t="shared" si="87"/>
        <v>19595.651999999998</v>
      </c>
      <c r="ED24" s="87" t="s">
        <v>8</v>
      </c>
      <c r="EE24" s="83"/>
      <c r="EF24" s="58">
        <f>SUM(EF25:EF27)</f>
        <v>2.66</v>
      </c>
      <c r="EG24" s="11">
        <f>SUM(EG25:EG27)</f>
        <v>14552.327999999998</v>
      </c>
      <c r="EH24" s="101">
        <f>SUM(EH25:EH27)</f>
        <v>13272.335999999999</v>
      </c>
      <c r="EI24" s="126" t="s">
        <v>192</v>
      </c>
      <c r="EJ24" s="130" t="s">
        <v>193</v>
      </c>
      <c r="EK24" s="114">
        <v>0</v>
      </c>
      <c r="EL24" s="117">
        <f>0.18*12*EL39</f>
        <v>8524.0080000000016</v>
      </c>
      <c r="EM24" s="114">
        <f>(0.23+0.29)*12*EM39</f>
        <v>15825.263999999999</v>
      </c>
      <c r="EN24" s="117">
        <f>0.18*12*EN39</f>
        <v>4987.8720000000003</v>
      </c>
      <c r="EO24" s="117">
        <f>0.18*12*EO39</f>
        <v>8067.8160000000007</v>
      </c>
      <c r="EP24" s="110"/>
      <c r="EQ24" s="110"/>
      <c r="ER24" s="154"/>
    </row>
    <row r="25" spans="1:148" s="1" customFormat="1" ht="36" customHeight="1" x14ac:dyDescent="0.2">
      <c r="A25" s="54" t="s">
        <v>114</v>
      </c>
      <c r="B25" s="64" t="s">
        <v>3</v>
      </c>
      <c r="C25" s="53">
        <v>1.1299999999999999</v>
      </c>
      <c r="D25" s="10">
        <f>$C$25*12*D39</f>
        <v>6544.0559999999996</v>
      </c>
      <c r="E25" s="10">
        <f t="shared" ref="E25:BR25" si="88">$C$25*12*E39</f>
        <v>8015.3159999999998</v>
      </c>
      <c r="F25" s="10">
        <f t="shared" si="88"/>
        <v>9810.66</v>
      </c>
      <c r="G25" s="10">
        <f t="shared" si="88"/>
        <v>6255.2279999999992</v>
      </c>
      <c r="H25" s="10">
        <f t="shared" si="88"/>
        <v>5790.12</v>
      </c>
      <c r="I25" s="10">
        <f t="shared" si="88"/>
        <v>18489.059999999998</v>
      </c>
      <c r="J25" s="10">
        <f t="shared" si="88"/>
        <v>7902.7679999999982</v>
      </c>
      <c r="K25" s="10">
        <f t="shared" si="88"/>
        <v>7871.579999999999</v>
      </c>
      <c r="L25" s="10">
        <f t="shared" si="88"/>
        <v>7487.8320000000003</v>
      </c>
      <c r="M25" s="10">
        <f t="shared" si="88"/>
        <v>7653.2639999999992</v>
      </c>
      <c r="N25" s="10">
        <f t="shared" si="88"/>
        <v>8180.7479999999987</v>
      </c>
      <c r="O25" s="10">
        <f t="shared" si="88"/>
        <v>4691.7599999999993</v>
      </c>
      <c r="P25" s="10">
        <f t="shared" si="88"/>
        <v>10970.039999999999</v>
      </c>
      <c r="Q25" s="10">
        <f t="shared" si="88"/>
        <v>8460.0839999999989</v>
      </c>
      <c r="R25" s="10">
        <f t="shared" si="88"/>
        <v>8462.7960000000003</v>
      </c>
      <c r="S25" s="10">
        <f t="shared" si="88"/>
        <v>7863.4439999999986</v>
      </c>
      <c r="T25" s="10">
        <f t="shared" si="88"/>
        <v>6304.043999999999</v>
      </c>
      <c r="U25" s="10">
        <f t="shared" si="88"/>
        <v>8583.48</v>
      </c>
      <c r="V25" s="10">
        <f t="shared" si="88"/>
        <v>7091.8799999999992</v>
      </c>
      <c r="W25" s="10">
        <f t="shared" si="88"/>
        <v>9875.7479999999978</v>
      </c>
      <c r="X25" s="10">
        <f t="shared" si="88"/>
        <v>6679.6559999999999</v>
      </c>
      <c r="Y25" s="10">
        <f t="shared" si="88"/>
        <v>7634.2799999999988</v>
      </c>
      <c r="Z25" s="10">
        <f t="shared" si="88"/>
        <v>5814.5279999999993</v>
      </c>
      <c r="AA25" s="10">
        <f t="shared" ref="AA25" si="89">$C$25*12*AA39</f>
        <v>8112.9479999999985</v>
      </c>
      <c r="AB25" s="10">
        <f t="shared" si="88"/>
        <v>6202.3439999999991</v>
      </c>
      <c r="AC25" s="10">
        <f t="shared" si="88"/>
        <v>6846.4439999999986</v>
      </c>
      <c r="AD25" s="10">
        <f t="shared" si="88"/>
        <v>6445.0679999999993</v>
      </c>
      <c r="AE25" s="10">
        <f t="shared" si="88"/>
        <v>6244.3799999999992</v>
      </c>
      <c r="AF25" s="10">
        <f t="shared" si="88"/>
        <v>7643.7719999999999</v>
      </c>
      <c r="AG25" s="10">
        <f t="shared" si="88"/>
        <v>9883.8839999999982</v>
      </c>
      <c r="AH25" s="10">
        <f t="shared" si="88"/>
        <v>6274.2119999999995</v>
      </c>
      <c r="AI25" s="10">
        <f t="shared" ref="AI25" si="90">$C$25*12*AI39</f>
        <v>6182.003999999999</v>
      </c>
      <c r="AJ25" s="10">
        <f t="shared" si="88"/>
        <v>7003.74</v>
      </c>
      <c r="AK25" s="10">
        <f t="shared" si="88"/>
        <v>7009.1639999999989</v>
      </c>
      <c r="AL25" s="10">
        <f t="shared" si="88"/>
        <v>6964.4159999999993</v>
      </c>
      <c r="AM25" s="10">
        <f t="shared" si="88"/>
        <v>6407.0999999999995</v>
      </c>
      <c r="AN25" s="10">
        <f t="shared" si="88"/>
        <v>6466.7639999999992</v>
      </c>
      <c r="AO25" s="10">
        <f t="shared" si="88"/>
        <v>6544.0559999999996</v>
      </c>
      <c r="AP25" s="10">
        <f t="shared" si="88"/>
        <v>6424.7279999999992</v>
      </c>
      <c r="AQ25" s="10">
        <f t="shared" si="88"/>
        <v>7030.86</v>
      </c>
      <c r="AR25" s="10">
        <f t="shared" si="88"/>
        <v>7643.7719999999999</v>
      </c>
      <c r="AS25" s="10">
        <f t="shared" si="88"/>
        <v>6531.851999999999</v>
      </c>
      <c r="AT25" s="10">
        <f t="shared" si="88"/>
        <v>11888.052</v>
      </c>
      <c r="AU25" s="10">
        <f t="shared" si="88"/>
        <v>6440.9999999999991</v>
      </c>
      <c r="AV25" s="10">
        <f t="shared" si="88"/>
        <v>6182.003999999999</v>
      </c>
      <c r="AW25" s="10">
        <f t="shared" si="88"/>
        <v>6583.3799999999992</v>
      </c>
      <c r="AX25" s="10">
        <f t="shared" si="88"/>
        <v>7809.2039999999988</v>
      </c>
      <c r="AY25" s="10">
        <f t="shared" si="88"/>
        <v>5815.8839999999991</v>
      </c>
      <c r="AZ25" s="10">
        <f t="shared" si="88"/>
        <v>9867.6119999999992</v>
      </c>
      <c r="BA25" s="10">
        <f t="shared" si="88"/>
        <v>5688.4199999999992</v>
      </c>
      <c r="BB25" s="10">
        <f t="shared" si="88"/>
        <v>8073.6239999999989</v>
      </c>
      <c r="BC25" s="10">
        <f t="shared" si="88"/>
        <v>10033.043999999998</v>
      </c>
      <c r="BD25" s="10">
        <f t="shared" si="88"/>
        <v>13212.863999999998</v>
      </c>
      <c r="BE25" s="10">
        <f t="shared" si="88"/>
        <v>7706.1479999999983</v>
      </c>
      <c r="BF25" s="10">
        <f t="shared" si="88"/>
        <v>9002.4839999999986</v>
      </c>
      <c r="BG25" s="10">
        <f t="shared" si="88"/>
        <v>7205.7839999999987</v>
      </c>
      <c r="BH25" s="10">
        <f t="shared" si="88"/>
        <v>10902.24</v>
      </c>
      <c r="BI25" s="10">
        <f t="shared" si="88"/>
        <v>5718.2519999999995</v>
      </c>
      <c r="BJ25" s="10">
        <f t="shared" si="88"/>
        <v>4697.1839999999993</v>
      </c>
      <c r="BK25" s="10">
        <f t="shared" si="88"/>
        <v>6419.3039999999992</v>
      </c>
      <c r="BL25" s="10">
        <f t="shared" si="88"/>
        <v>6610.4999999999991</v>
      </c>
      <c r="BM25" s="10">
        <f t="shared" si="88"/>
        <v>7372.5720000000001</v>
      </c>
      <c r="BN25" s="10">
        <f t="shared" si="88"/>
        <v>7009.1639999999989</v>
      </c>
      <c r="BO25" s="10">
        <f t="shared" si="88"/>
        <v>7958.3639999999987</v>
      </c>
      <c r="BP25" s="10">
        <f t="shared" si="88"/>
        <v>5929.7879999999996</v>
      </c>
      <c r="BQ25" s="10">
        <f t="shared" si="88"/>
        <v>5847.0719999999992</v>
      </c>
      <c r="BR25" s="10">
        <f t="shared" si="88"/>
        <v>6356.9279999999999</v>
      </c>
      <c r="BS25" s="10">
        <f t="shared" ref="BS25:CI25" si="91">$C$25*12*BS39</f>
        <v>8262.1079999999984</v>
      </c>
      <c r="BT25" s="10">
        <f t="shared" si="91"/>
        <v>7497.3239999999987</v>
      </c>
      <c r="BU25" s="10">
        <f t="shared" si="91"/>
        <v>6832.8839999999991</v>
      </c>
      <c r="BV25" s="10">
        <f t="shared" si="91"/>
        <v>7127.1359999999995</v>
      </c>
      <c r="BW25" s="10">
        <f t="shared" si="91"/>
        <v>6877.6319999999996</v>
      </c>
      <c r="BX25" s="10">
        <f t="shared" si="91"/>
        <v>6868.1399999999994</v>
      </c>
      <c r="BY25" s="10">
        <f t="shared" si="91"/>
        <v>6751.5239999999994</v>
      </c>
      <c r="BZ25" s="10">
        <f t="shared" si="91"/>
        <v>6996.9599999999991</v>
      </c>
      <c r="CA25" s="10">
        <f t="shared" si="91"/>
        <v>7140.6959999999999</v>
      </c>
      <c r="CB25" s="10">
        <f t="shared" si="91"/>
        <v>7029.503999999999</v>
      </c>
      <c r="CC25" s="10">
        <f t="shared" si="91"/>
        <v>7443.0839999999989</v>
      </c>
      <c r="CD25" s="10">
        <f t="shared" si="91"/>
        <v>6278.28</v>
      </c>
      <c r="CE25" s="10">
        <f t="shared" si="91"/>
        <v>5288.4</v>
      </c>
      <c r="CF25" s="10">
        <f t="shared" si="91"/>
        <v>6040.98</v>
      </c>
      <c r="CG25" s="10">
        <f t="shared" si="91"/>
        <v>7102.7279999999992</v>
      </c>
      <c r="CH25" s="10">
        <f t="shared" si="91"/>
        <v>7662.7559999999994</v>
      </c>
      <c r="CI25" s="10">
        <f t="shared" si="91"/>
        <v>5840.2919999999995</v>
      </c>
      <c r="CJ25" s="85" t="s">
        <v>114</v>
      </c>
      <c r="CK25" s="53" t="s">
        <v>3</v>
      </c>
      <c r="CL25" s="53">
        <v>1.1100000000000001</v>
      </c>
      <c r="CM25" s="10">
        <f>$CL$25*12*CM39</f>
        <v>6525.4679999999998</v>
      </c>
      <c r="CN25" s="10">
        <f t="shared" ref="CN25:CQ25" si="92">$CL$25*12*CN39</f>
        <v>6072.5879999999997</v>
      </c>
      <c r="CO25" s="10">
        <f t="shared" si="92"/>
        <v>6124.5360000000001</v>
      </c>
      <c r="CP25" s="10">
        <f t="shared" si="92"/>
        <v>6889.1040000000012</v>
      </c>
      <c r="CQ25" s="10">
        <f t="shared" si="92"/>
        <v>6874.4520000000002</v>
      </c>
      <c r="CR25" s="85" t="s">
        <v>157</v>
      </c>
      <c r="CS25" s="53" t="s">
        <v>3</v>
      </c>
      <c r="CT25" s="53">
        <v>1.1100000000000001</v>
      </c>
      <c r="CU25" s="10">
        <f>$CT$25*12*CU39</f>
        <v>6052.6080000000002</v>
      </c>
      <c r="CV25" s="10">
        <f t="shared" ref="CV25:CZ25" si="93">$CT$25*12*CV39</f>
        <v>6156.5039999999999</v>
      </c>
      <c r="CW25" s="10">
        <f t="shared" si="93"/>
        <v>6204.4560000000001</v>
      </c>
      <c r="CX25" s="10">
        <f t="shared" si="93"/>
        <v>6299.0280000000002</v>
      </c>
      <c r="CY25" s="10">
        <f t="shared" si="93"/>
        <v>6095.2320000000009</v>
      </c>
      <c r="CZ25" s="10">
        <f t="shared" si="93"/>
        <v>6164.4960000000001</v>
      </c>
      <c r="DA25" s="85" t="s">
        <v>114</v>
      </c>
      <c r="DB25" s="53" t="s">
        <v>3</v>
      </c>
      <c r="DC25" s="53">
        <v>1.1299999999999999</v>
      </c>
      <c r="DD25" s="10">
        <f>$DC$25*12*DD39</f>
        <v>6643.043999999999</v>
      </c>
      <c r="DE25" s="10">
        <f t="shared" ref="DE25:DW25" si="94">$DC$25*12*DE39</f>
        <v>7519.0199999999995</v>
      </c>
      <c r="DF25" s="10">
        <f t="shared" si="94"/>
        <v>13479.995999999999</v>
      </c>
      <c r="DG25" s="10">
        <f t="shared" si="94"/>
        <v>6074.8799999999992</v>
      </c>
      <c r="DH25" s="10">
        <f t="shared" si="94"/>
        <v>7661.4</v>
      </c>
      <c r="DI25" s="10">
        <f t="shared" si="94"/>
        <v>7676.3159999999998</v>
      </c>
      <c r="DJ25" s="10">
        <f t="shared" si="94"/>
        <v>6850.5119999999988</v>
      </c>
      <c r="DK25" s="10">
        <f t="shared" si="94"/>
        <v>6904.7519999999995</v>
      </c>
      <c r="DL25" s="10">
        <f t="shared" si="94"/>
        <v>7714.2839999999987</v>
      </c>
      <c r="DM25" s="10">
        <f t="shared" si="94"/>
        <v>6507.4439999999995</v>
      </c>
      <c r="DN25" s="10">
        <f t="shared" si="94"/>
        <v>7556.9879999999985</v>
      </c>
      <c r="DO25" s="10">
        <f t="shared" si="94"/>
        <v>6118.271999999999</v>
      </c>
      <c r="DP25" s="10">
        <f t="shared" si="94"/>
        <v>9755.0639999999985</v>
      </c>
      <c r="DQ25" s="10">
        <f t="shared" si="94"/>
        <v>6160.308</v>
      </c>
      <c r="DR25" s="10">
        <f t="shared" si="94"/>
        <v>6500.6639999999989</v>
      </c>
      <c r="DS25" s="10">
        <f t="shared" si="94"/>
        <v>6270.1439999999993</v>
      </c>
      <c r="DT25" s="10">
        <f t="shared" si="94"/>
        <v>6328.4519999999993</v>
      </c>
      <c r="DU25" s="10">
        <f t="shared" si="94"/>
        <v>5700.6239999999989</v>
      </c>
      <c r="DV25" s="10">
        <f t="shared" si="94"/>
        <v>12015.516</v>
      </c>
      <c r="DW25" s="10">
        <f t="shared" si="94"/>
        <v>7238.3279999999986</v>
      </c>
      <c r="DX25" s="85" t="s">
        <v>114</v>
      </c>
      <c r="DY25" s="53" t="s">
        <v>3</v>
      </c>
      <c r="DZ25" s="53">
        <v>1.1100000000000001</v>
      </c>
      <c r="EA25" s="10">
        <f>$DZ$25*12*EA39</f>
        <v>6525.4679999999998</v>
      </c>
      <c r="EB25" s="10">
        <f t="shared" ref="EB25:EC25" si="95">$DZ$25*12*EB39</f>
        <v>6205.7879999999996</v>
      </c>
      <c r="EC25" s="10">
        <f t="shared" si="95"/>
        <v>6232.4279999999999</v>
      </c>
      <c r="ED25" s="85" t="s">
        <v>157</v>
      </c>
      <c r="EE25" s="53" t="s">
        <v>3</v>
      </c>
      <c r="EF25" s="53">
        <v>1.1100000000000001</v>
      </c>
      <c r="EG25" s="10">
        <f>$EF$25*12*EG39</f>
        <v>6072.5879999999997</v>
      </c>
      <c r="EH25" s="99">
        <f>$EF$25*12*EH39</f>
        <v>5538.4560000000001</v>
      </c>
      <c r="EI25" s="126" t="s">
        <v>194</v>
      </c>
      <c r="EJ25" s="127" t="s">
        <v>195</v>
      </c>
      <c r="EK25" s="114">
        <f>0.56*12*EK39</f>
        <v>25303.488000000005</v>
      </c>
      <c r="EL25" s="117">
        <f>0.56*12*EL39</f>
        <v>26519.136000000002</v>
      </c>
      <c r="EM25" s="114">
        <f>0.7*12*EM39</f>
        <v>21303.239999999994</v>
      </c>
      <c r="EN25" s="117">
        <f>0.56*12*EN39</f>
        <v>15517.824000000001</v>
      </c>
      <c r="EO25" s="117">
        <f>0.56*12*EO39</f>
        <v>25099.872000000003</v>
      </c>
      <c r="EP25" s="110"/>
      <c r="EQ25" s="110"/>
      <c r="ER25" s="154"/>
    </row>
    <row r="26" spans="1:148" s="1" customFormat="1" ht="71.25" customHeight="1" x14ac:dyDescent="0.2">
      <c r="A26" s="54" t="s">
        <v>115</v>
      </c>
      <c r="B26" s="64" t="s">
        <v>7</v>
      </c>
      <c r="C26" s="53">
        <v>0.16</v>
      </c>
      <c r="D26" s="10">
        <f>$C$26*12*D39</f>
        <v>926.59199999999998</v>
      </c>
      <c r="E26" s="10">
        <f t="shared" ref="E26:BR26" si="96">$C$26*12*E39</f>
        <v>1134.912</v>
      </c>
      <c r="F26" s="10">
        <f t="shared" si="96"/>
        <v>1389.12</v>
      </c>
      <c r="G26" s="10">
        <f t="shared" si="96"/>
        <v>885.69600000000003</v>
      </c>
      <c r="H26" s="10">
        <f t="shared" si="96"/>
        <v>819.83999999999992</v>
      </c>
      <c r="I26" s="10">
        <f t="shared" si="96"/>
        <v>2617.92</v>
      </c>
      <c r="J26" s="10">
        <f t="shared" si="96"/>
        <v>1118.9759999999999</v>
      </c>
      <c r="K26" s="10">
        <f t="shared" si="96"/>
        <v>1114.56</v>
      </c>
      <c r="L26" s="10">
        <f t="shared" si="96"/>
        <v>1060.2240000000002</v>
      </c>
      <c r="M26" s="10">
        <f t="shared" si="96"/>
        <v>1083.6479999999999</v>
      </c>
      <c r="N26" s="10">
        <f t="shared" si="96"/>
        <v>1158.3359999999998</v>
      </c>
      <c r="O26" s="10">
        <f t="shared" si="96"/>
        <v>664.31999999999994</v>
      </c>
      <c r="P26" s="10">
        <f t="shared" si="96"/>
        <v>1553.28</v>
      </c>
      <c r="Q26" s="10">
        <f t="shared" si="96"/>
        <v>1197.8879999999999</v>
      </c>
      <c r="R26" s="10">
        <f t="shared" si="96"/>
        <v>1198.2719999999999</v>
      </c>
      <c r="S26" s="10">
        <f t="shared" si="96"/>
        <v>1113.4079999999999</v>
      </c>
      <c r="T26" s="10">
        <f t="shared" si="96"/>
        <v>892.60799999999995</v>
      </c>
      <c r="U26" s="10">
        <f t="shared" si="96"/>
        <v>1215.3599999999999</v>
      </c>
      <c r="V26" s="10">
        <f t="shared" si="96"/>
        <v>1004.16</v>
      </c>
      <c r="W26" s="10">
        <f t="shared" si="96"/>
        <v>1398.3359999999998</v>
      </c>
      <c r="X26" s="10">
        <f t="shared" si="96"/>
        <v>945.79200000000003</v>
      </c>
      <c r="Y26" s="10">
        <f t="shared" si="96"/>
        <v>1080.96</v>
      </c>
      <c r="Z26" s="10">
        <f t="shared" si="96"/>
        <v>823.29599999999994</v>
      </c>
      <c r="AA26" s="10">
        <f t="shared" ref="AA26" si="97">$C$26*12*AA39</f>
        <v>1148.7359999999999</v>
      </c>
      <c r="AB26" s="10">
        <f t="shared" si="96"/>
        <v>878.20799999999997</v>
      </c>
      <c r="AC26" s="10">
        <f t="shared" si="96"/>
        <v>969.4079999999999</v>
      </c>
      <c r="AD26" s="10">
        <f t="shared" si="96"/>
        <v>912.57600000000002</v>
      </c>
      <c r="AE26" s="10">
        <f t="shared" si="96"/>
        <v>884.16</v>
      </c>
      <c r="AF26" s="10">
        <f t="shared" si="96"/>
        <v>1082.3040000000001</v>
      </c>
      <c r="AG26" s="10">
        <f t="shared" si="96"/>
        <v>1399.4879999999998</v>
      </c>
      <c r="AH26" s="10">
        <f t="shared" si="96"/>
        <v>888.3839999999999</v>
      </c>
      <c r="AI26" s="10">
        <f t="shared" ref="AI26" si="98">$C$26*12*AI39</f>
        <v>875.32799999999997</v>
      </c>
      <c r="AJ26" s="10">
        <f t="shared" si="96"/>
        <v>991.68</v>
      </c>
      <c r="AK26" s="10">
        <f t="shared" si="96"/>
        <v>992.44799999999987</v>
      </c>
      <c r="AL26" s="10">
        <f t="shared" si="96"/>
        <v>986.11199999999997</v>
      </c>
      <c r="AM26" s="10">
        <f t="shared" si="96"/>
        <v>907.19999999999993</v>
      </c>
      <c r="AN26" s="10">
        <f t="shared" si="96"/>
        <v>915.64799999999991</v>
      </c>
      <c r="AO26" s="10">
        <f t="shared" si="96"/>
        <v>926.59199999999998</v>
      </c>
      <c r="AP26" s="10">
        <f t="shared" si="96"/>
        <v>909.69600000000003</v>
      </c>
      <c r="AQ26" s="10">
        <f t="shared" si="96"/>
        <v>995.52</v>
      </c>
      <c r="AR26" s="10">
        <f t="shared" si="96"/>
        <v>1082.3040000000001</v>
      </c>
      <c r="AS26" s="10">
        <f t="shared" si="96"/>
        <v>924.86399999999992</v>
      </c>
      <c r="AT26" s="10">
        <f t="shared" si="96"/>
        <v>1683.2640000000001</v>
      </c>
      <c r="AU26" s="10">
        <f t="shared" si="96"/>
        <v>912</v>
      </c>
      <c r="AV26" s="10">
        <f t="shared" si="96"/>
        <v>875.32799999999997</v>
      </c>
      <c r="AW26" s="10">
        <f t="shared" si="96"/>
        <v>932.16</v>
      </c>
      <c r="AX26" s="10">
        <f t="shared" si="96"/>
        <v>1105.7279999999998</v>
      </c>
      <c r="AY26" s="10">
        <f t="shared" si="96"/>
        <v>823.48799999999994</v>
      </c>
      <c r="AZ26" s="10">
        <f t="shared" si="96"/>
        <v>1397.184</v>
      </c>
      <c r="BA26" s="10">
        <f t="shared" si="96"/>
        <v>805.43999999999994</v>
      </c>
      <c r="BB26" s="10">
        <f t="shared" si="96"/>
        <v>1143.1679999999999</v>
      </c>
      <c r="BC26" s="10">
        <f t="shared" si="96"/>
        <v>1420.6079999999999</v>
      </c>
      <c r="BD26" s="10">
        <f t="shared" si="96"/>
        <v>1870.848</v>
      </c>
      <c r="BE26" s="10">
        <f t="shared" si="96"/>
        <v>1091.136</v>
      </c>
      <c r="BF26" s="10">
        <f t="shared" si="96"/>
        <v>1274.6879999999999</v>
      </c>
      <c r="BG26" s="10">
        <f t="shared" si="96"/>
        <v>1020.2879999999999</v>
      </c>
      <c r="BH26" s="10">
        <f t="shared" si="96"/>
        <v>1543.6799999999998</v>
      </c>
      <c r="BI26" s="10">
        <f t="shared" si="96"/>
        <v>809.66399999999999</v>
      </c>
      <c r="BJ26" s="10">
        <f t="shared" si="96"/>
        <v>665.08799999999997</v>
      </c>
      <c r="BK26" s="10">
        <f t="shared" si="96"/>
        <v>908.92799999999988</v>
      </c>
      <c r="BL26" s="10">
        <f t="shared" si="96"/>
        <v>936</v>
      </c>
      <c r="BM26" s="10">
        <f t="shared" si="96"/>
        <v>1043.904</v>
      </c>
      <c r="BN26" s="10">
        <f t="shared" si="96"/>
        <v>992.44799999999987</v>
      </c>
      <c r="BO26" s="10">
        <f t="shared" si="96"/>
        <v>1126.848</v>
      </c>
      <c r="BP26" s="10">
        <f t="shared" si="96"/>
        <v>839.61599999999999</v>
      </c>
      <c r="BQ26" s="10">
        <f t="shared" si="96"/>
        <v>827.904</v>
      </c>
      <c r="BR26" s="10">
        <f t="shared" si="96"/>
        <v>900.096</v>
      </c>
      <c r="BS26" s="10">
        <f t="shared" ref="BS26:CI26" si="99">$C$26*12*BS39</f>
        <v>1169.8559999999998</v>
      </c>
      <c r="BT26" s="10">
        <f t="shared" si="99"/>
        <v>1061.568</v>
      </c>
      <c r="BU26" s="10">
        <f t="shared" si="99"/>
        <v>967.48799999999994</v>
      </c>
      <c r="BV26" s="10">
        <f t="shared" si="99"/>
        <v>1009.152</v>
      </c>
      <c r="BW26" s="10">
        <f t="shared" si="99"/>
        <v>973.82399999999996</v>
      </c>
      <c r="BX26" s="10">
        <f t="shared" si="99"/>
        <v>972.48</v>
      </c>
      <c r="BY26" s="10">
        <f t="shared" si="99"/>
        <v>955.96799999999996</v>
      </c>
      <c r="BZ26" s="10">
        <f t="shared" si="99"/>
        <v>990.71999999999991</v>
      </c>
      <c r="CA26" s="10">
        <f t="shared" si="99"/>
        <v>1011.072</v>
      </c>
      <c r="CB26" s="10">
        <f t="shared" si="99"/>
        <v>995.32799999999997</v>
      </c>
      <c r="CC26" s="10">
        <f t="shared" si="99"/>
        <v>1053.8879999999999</v>
      </c>
      <c r="CD26" s="10">
        <f t="shared" si="99"/>
        <v>888.95999999999992</v>
      </c>
      <c r="CE26" s="10">
        <f t="shared" si="99"/>
        <v>748.8</v>
      </c>
      <c r="CF26" s="10">
        <f t="shared" si="99"/>
        <v>855.36</v>
      </c>
      <c r="CG26" s="10">
        <f t="shared" si="99"/>
        <v>1005.6959999999999</v>
      </c>
      <c r="CH26" s="10">
        <f t="shared" si="99"/>
        <v>1084.992</v>
      </c>
      <c r="CI26" s="10">
        <f t="shared" si="99"/>
        <v>826.94399999999996</v>
      </c>
      <c r="CJ26" s="85" t="s">
        <v>115</v>
      </c>
      <c r="CK26" s="89" t="s">
        <v>7</v>
      </c>
      <c r="CL26" s="53">
        <v>0.13</v>
      </c>
      <c r="CM26" s="10">
        <f>$CL$26*12*CM39</f>
        <v>764.24400000000003</v>
      </c>
      <c r="CN26" s="10">
        <f t="shared" ref="CN26:CQ26" si="100">$CL$26*12*CN39</f>
        <v>711.20399999999995</v>
      </c>
      <c r="CO26" s="10">
        <f t="shared" si="100"/>
        <v>717.28800000000001</v>
      </c>
      <c r="CP26" s="10">
        <f t="shared" si="100"/>
        <v>806.83200000000011</v>
      </c>
      <c r="CQ26" s="10">
        <f t="shared" si="100"/>
        <v>805.1160000000001</v>
      </c>
      <c r="CR26" s="85" t="s">
        <v>158</v>
      </c>
      <c r="CS26" s="89" t="s">
        <v>7</v>
      </c>
      <c r="CT26" s="53">
        <v>0.14000000000000001</v>
      </c>
      <c r="CU26" s="10">
        <f>$CT$26*12*CU39</f>
        <v>763.39200000000005</v>
      </c>
      <c r="CV26" s="10">
        <f t="shared" ref="CV26:CZ26" si="101">$CT$26*12*CV39</f>
        <v>776.49600000000009</v>
      </c>
      <c r="CW26" s="10">
        <f t="shared" si="101"/>
        <v>782.5440000000001</v>
      </c>
      <c r="CX26" s="10">
        <f t="shared" si="101"/>
        <v>794.47200000000009</v>
      </c>
      <c r="CY26" s="10">
        <f t="shared" si="101"/>
        <v>768.76800000000014</v>
      </c>
      <c r="CZ26" s="10">
        <f t="shared" si="101"/>
        <v>777.50400000000013</v>
      </c>
      <c r="DA26" s="85" t="s">
        <v>115</v>
      </c>
      <c r="DB26" s="89" t="s">
        <v>7</v>
      </c>
      <c r="DC26" s="53">
        <v>0.16</v>
      </c>
      <c r="DD26" s="10">
        <f>$DC$26*12*DD39</f>
        <v>940.60799999999995</v>
      </c>
      <c r="DE26" s="10">
        <f t="shared" ref="DE26:DW26" si="102">$DC$26*12*DE39</f>
        <v>1064.6399999999999</v>
      </c>
      <c r="DF26" s="10">
        <f t="shared" si="102"/>
        <v>1908.672</v>
      </c>
      <c r="DG26" s="10">
        <f t="shared" si="102"/>
        <v>860.16</v>
      </c>
      <c r="DH26" s="10">
        <f t="shared" si="102"/>
        <v>1084.8</v>
      </c>
      <c r="DI26" s="10">
        <f t="shared" si="102"/>
        <v>1086.912</v>
      </c>
      <c r="DJ26" s="10">
        <f t="shared" si="102"/>
        <v>969.98399999999992</v>
      </c>
      <c r="DK26" s="10">
        <f t="shared" si="102"/>
        <v>977.66399999999999</v>
      </c>
      <c r="DL26" s="10">
        <f t="shared" si="102"/>
        <v>1092.288</v>
      </c>
      <c r="DM26" s="10">
        <f t="shared" si="102"/>
        <v>921.4079999999999</v>
      </c>
      <c r="DN26" s="10">
        <f t="shared" si="102"/>
        <v>1070.0159999999998</v>
      </c>
      <c r="DO26" s="10">
        <f t="shared" si="102"/>
        <v>866.30399999999997</v>
      </c>
      <c r="DP26" s="10">
        <f t="shared" si="102"/>
        <v>1381.2479999999998</v>
      </c>
      <c r="DQ26" s="10">
        <f t="shared" si="102"/>
        <v>872.25599999999997</v>
      </c>
      <c r="DR26" s="10">
        <f t="shared" si="102"/>
        <v>920.44799999999998</v>
      </c>
      <c r="DS26" s="10">
        <f t="shared" si="102"/>
        <v>887.80799999999988</v>
      </c>
      <c r="DT26" s="10">
        <f t="shared" si="102"/>
        <v>896.06399999999996</v>
      </c>
      <c r="DU26" s="10">
        <f t="shared" si="102"/>
        <v>807.16799999999989</v>
      </c>
      <c r="DV26" s="10">
        <f t="shared" si="102"/>
        <v>1701.3119999999999</v>
      </c>
      <c r="DW26" s="10">
        <f t="shared" si="102"/>
        <v>1024.896</v>
      </c>
      <c r="DX26" s="85" t="s">
        <v>115</v>
      </c>
      <c r="DY26" s="89" t="s">
        <v>7</v>
      </c>
      <c r="DZ26" s="53">
        <v>0.13</v>
      </c>
      <c r="EA26" s="10">
        <f>$DZ$26*12*EA39</f>
        <v>764.24400000000003</v>
      </c>
      <c r="EB26" s="10">
        <f t="shared" ref="EB26:EC26" si="103">$DZ$26*12*EB39</f>
        <v>726.80399999999997</v>
      </c>
      <c r="EC26" s="10">
        <f t="shared" si="103"/>
        <v>729.92399999999998</v>
      </c>
      <c r="ED26" s="85" t="s">
        <v>158</v>
      </c>
      <c r="EE26" s="89" t="s">
        <v>7</v>
      </c>
      <c r="EF26" s="53">
        <v>0.14000000000000001</v>
      </c>
      <c r="EG26" s="10">
        <f>$EF$26*12*EG39</f>
        <v>765.91200000000003</v>
      </c>
      <c r="EH26" s="99">
        <f>$EF$26*12*EH39</f>
        <v>698.5440000000001</v>
      </c>
      <c r="EI26" s="131" t="s">
        <v>196</v>
      </c>
      <c r="EJ26" s="129" t="s">
        <v>197</v>
      </c>
      <c r="EK26" s="114">
        <f>0.03*12*EK39</f>
        <v>1355.5439999999999</v>
      </c>
      <c r="EL26" s="117">
        <f>0.03*12*EL39</f>
        <v>1420.6680000000001</v>
      </c>
      <c r="EM26" s="114">
        <f>0.07*12*EM39</f>
        <v>2130.3240000000001</v>
      </c>
      <c r="EN26" s="117">
        <f>0.03*12*EN39</f>
        <v>831.3119999999999</v>
      </c>
      <c r="EO26" s="117">
        <f>0.03*12*EO39</f>
        <v>1344.636</v>
      </c>
      <c r="EP26" s="110"/>
      <c r="EQ26" s="110"/>
      <c r="ER26" s="154"/>
    </row>
    <row r="27" spans="1:148" s="1" customFormat="1" ht="112.5" customHeight="1" x14ac:dyDescent="0.2">
      <c r="A27" s="54" t="s">
        <v>116</v>
      </c>
      <c r="B27" s="64" t="s">
        <v>6</v>
      </c>
      <c r="C27" s="53">
        <v>0.85</v>
      </c>
      <c r="D27" s="10">
        <f>$C$27*12*D39</f>
        <v>4922.5199999999995</v>
      </c>
      <c r="E27" s="10">
        <f t="shared" ref="E27:BR27" si="104">$C$27*12*E39</f>
        <v>6029.22</v>
      </c>
      <c r="F27" s="10">
        <f t="shared" si="104"/>
        <v>7379.7</v>
      </c>
      <c r="G27" s="10">
        <f t="shared" si="104"/>
        <v>4705.26</v>
      </c>
      <c r="H27" s="10">
        <f t="shared" si="104"/>
        <v>4355.3999999999996</v>
      </c>
      <c r="I27" s="10">
        <f t="shared" si="104"/>
        <v>13907.699999999999</v>
      </c>
      <c r="J27" s="10">
        <f t="shared" si="104"/>
        <v>5944.5599999999995</v>
      </c>
      <c r="K27" s="10">
        <f t="shared" si="104"/>
        <v>5921.0999999999995</v>
      </c>
      <c r="L27" s="10">
        <f t="shared" si="104"/>
        <v>5632.4400000000005</v>
      </c>
      <c r="M27" s="10">
        <f t="shared" si="104"/>
        <v>5756.8799999999992</v>
      </c>
      <c r="N27" s="10">
        <f t="shared" si="104"/>
        <v>6153.6599999999989</v>
      </c>
      <c r="O27" s="10">
        <f t="shared" si="104"/>
        <v>3529.2</v>
      </c>
      <c r="P27" s="10">
        <f t="shared" si="104"/>
        <v>8251.7999999999993</v>
      </c>
      <c r="Q27" s="10">
        <f t="shared" si="104"/>
        <v>6363.78</v>
      </c>
      <c r="R27" s="10">
        <f t="shared" si="104"/>
        <v>6365.82</v>
      </c>
      <c r="S27" s="10">
        <f t="shared" si="104"/>
        <v>5914.98</v>
      </c>
      <c r="T27" s="10">
        <f t="shared" si="104"/>
        <v>4741.9799999999996</v>
      </c>
      <c r="U27" s="10">
        <f t="shared" si="104"/>
        <v>6456.5999999999995</v>
      </c>
      <c r="V27" s="10">
        <f t="shared" si="104"/>
        <v>5334.5999999999995</v>
      </c>
      <c r="W27" s="10">
        <f t="shared" si="104"/>
        <v>7428.6599999999989</v>
      </c>
      <c r="X27" s="10">
        <f t="shared" si="104"/>
        <v>5024.5199999999995</v>
      </c>
      <c r="Y27" s="10">
        <f t="shared" si="104"/>
        <v>5742.5999999999995</v>
      </c>
      <c r="Z27" s="10">
        <f t="shared" si="104"/>
        <v>4373.76</v>
      </c>
      <c r="AA27" s="10">
        <f t="shared" ref="AA27" si="105">$C$27*12*AA39</f>
        <v>6102.6599999999989</v>
      </c>
      <c r="AB27" s="10">
        <f t="shared" si="104"/>
        <v>4665.4799999999996</v>
      </c>
      <c r="AC27" s="10">
        <f t="shared" si="104"/>
        <v>5149.9799999999996</v>
      </c>
      <c r="AD27" s="10">
        <f t="shared" si="104"/>
        <v>4848.0599999999995</v>
      </c>
      <c r="AE27" s="10">
        <f t="shared" si="104"/>
        <v>4697.0999999999995</v>
      </c>
      <c r="AF27" s="10">
        <f t="shared" si="104"/>
        <v>5749.74</v>
      </c>
      <c r="AG27" s="10">
        <f t="shared" si="104"/>
        <v>7434.7799999999988</v>
      </c>
      <c r="AH27" s="10">
        <f t="shared" si="104"/>
        <v>4719.54</v>
      </c>
      <c r="AI27" s="10">
        <f t="shared" ref="AI27" si="106">$C$27*12*AI39</f>
        <v>4650.1799999999994</v>
      </c>
      <c r="AJ27" s="10">
        <f t="shared" si="104"/>
        <v>5268.2999999999993</v>
      </c>
      <c r="AK27" s="10">
        <f t="shared" si="104"/>
        <v>5272.3799999999992</v>
      </c>
      <c r="AL27" s="10">
        <f t="shared" si="104"/>
        <v>5238.72</v>
      </c>
      <c r="AM27" s="10">
        <f t="shared" si="104"/>
        <v>4819.5</v>
      </c>
      <c r="AN27" s="10">
        <f t="shared" si="104"/>
        <v>4864.3799999999992</v>
      </c>
      <c r="AO27" s="10">
        <f t="shared" si="104"/>
        <v>4922.5199999999995</v>
      </c>
      <c r="AP27" s="10">
        <f t="shared" si="104"/>
        <v>4832.76</v>
      </c>
      <c r="AQ27" s="10">
        <f t="shared" si="104"/>
        <v>5288.7</v>
      </c>
      <c r="AR27" s="10">
        <f t="shared" si="104"/>
        <v>5749.74</v>
      </c>
      <c r="AS27" s="10">
        <f t="shared" si="104"/>
        <v>4913.3399999999992</v>
      </c>
      <c r="AT27" s="10">
        <f t="shared" si="104"/>
        <v>8942.34</v>
      </c>
      <c r="AU27" s="10">
        <f t="shared" si="104"/>
        <v>4845</v>
      </c>
      <c r="AV27" s="10">
        <f t="shared" si="104"/>
        <v>4650.1799999999994</v>
      </c>
      <c r="AW27" s="10">
        <f t="shared" si="104"/>
        <v>4952.0999999999995</v>
      </c>
      <c r="AX27" s="10">
        <f t="shared" si="104"/>
        <v>5874.1799999999994</v>
      </c>
      <c r="AY27" s="10">
        <f t="shared" si="104"/>
        <v>4374.78</v>
      </c>
      <c r="AZ27" s="10">
        <f t="shared" si="104"/>
        <v>7422.54</v>
      </c>
      <c r="BA27" s="10">
        <f t="shared" si="104"/>
        <v>4278.8999999999996</v>
      </c>
      <c r="BB27" s="10">
        <f t="shared" si="104"/>
        <v>6073.079999999999</v>
      </c>
      <c r="BC27" s="10">
        <f t="shared" si="104"/>
        <v>7546.98</v>
      </c>
      <c r="BD27" s="10">
        <f t="shared" si="104"/>
        <v>9938.8799999999992</v>
      </c>
      <c r="BE27" s="10">
        <f t="shared" si="104"/>
        <v>5796.6599999999989</v>
      </c>
      <c r="BF27" s="10">
        <f t="shared" si="104"/>
        <v>6771.78</v>
      </c>
      <c r="BG27" s="10">
        <f t="shared" si="104"/>
        <v>5420.28</v>
      </c>
      <c r="BH27" s="10">
        <f t="shared" si="104"/>
        <v>8200.7999999999993</v>
      </c>
      <c r="BI27" s="10">
        <f t="shared" si="104"/>
        <v>4301.3399999999992</v>
      </c>
      <c r="BJ27" s="10">
        <f t="shared" si="104"/>
        <v>3533.2799999999997</v>
      </c>
      <c r="BK27" s="10">
        <f t="shared" si="104"/>
        <v>4828.6799999999994</v>
      </c>
      <c r="BL27" s="10">
        <f t="shared" si="104"/>
        <v>4972.5</v>
      </c>
      <c r="BM27" s="10">
        <f t="shared" si="104"/>
        <v>5545.74</v>
      </c>
      <c r="BN27" s="10">
        <f t="shared" si="104"/>
        <v>5272.3799999999992</v>
      </c>
      <c r="BO27" s="10">
        <f t="shared" si="104"/>
        <v>5986.3799999999992</v>
      </c>
      <c r="BP27" s="10">
        <f t="shared" si="104"/>
        <v>4460.46</v>
      </c>
      <c r="BQ27" s="10">
        <f t="shared" si="104"/>
        <v>4398.24</v>
      </c>
      <c r="BR27" s="10">
        <f t="shared" si="104"/>
        <v>4781.76</v>
      </c>
      <c r="BS27" s="10">
        <f t="shared" ref="BS27:CI27" si="107">$C$27*12*BS39</f>
        <v>6214.8599999999988</v>
      </c>
      <c r="BT27" s="10">
        <f t="shared" si="107"/>
        <v>5639.579999999999</v>
      </c>
      <c r="BU27" s="10">
        <f t="shared" si="107"/>
        <v>5139.78</v>
      </c>
      <c r="BV27" s="10">
        <f t="shared" si="107"/>
        <v>5361.12</v>
      </c>
      <c r="BW27" s="10">
        <f t="shared" si="107"/>
        <v>5173.4399999999996</v>
      </c>
      <c r="BX27" s="10">
        <f t="shared" si="107"/>
        <v>5166.2999999999993</v>
      </c>
      <c r="BY27" s="10">
        <f t="shared" si="107"/>
        <v>5078.579999999999</v>
      </c>
      <c r="BZ27" s="10">
        <f t="shared" si="107"/>
        <v>5263.2</v>
      </c>
      <c r="CA27" s="10">
        <f t="shared" si="107"/>
        <v>5371.32</v>
      </c>
      <c r="CB27" s="10">
        <f t="shared" si="107"/>
        <v>5287.6799999999994</v>
      </c>
      <c r="CC27" s="10">
        <f t="shared" si="107"/>
        <v>5598.78</v>
      </c>
      <c r="CD27" s="10">
        <f t="shared" si="107"/>
        <v>4722.5999999999995</v>
      </c>
      <c r="CE27" s="10">
        <f t="shared" si="107"/>
        <v>3977.9999999999995</v>
      </c>
      <c r="CF27" s="10">
        <f t="shared" si="107"/>
        <v>4544.0999999999995</v>
      </c>
      <c r="CG27" s="10">
        <f t="shared" si="107"/>
        <v>5342.7599999999993</v>
      </c>
      <c r="CH27" s="10">
        <f t="shared" si="107"/>
        <v>5764.0199999999995</v>
      </c>
      <c r="CI27" s="10">
        <f t="shared" si="107"/>
        <v>4393.1399999999994</v>
      </c>
      <c r="CJ27" s="85" t="s">
        <v>139</v>
      </c>
      <c r="CK27" s="53" t="s">
        <v>6</v>
      </c>
      <c r="CL27" s="53">
        <v>3.69</v>
      </c>
      <c r="CM27" s="10">
        <f>$CL$27*12*CM39</f>
        <v>21692.772000000001</v>
      </c>
      <c r="CN27" s="10">
        <f t="shared" ref="CN27:CQ27" si="108">$CL$27*12*CN39</f>
        <v>20187.252</v>
      </c>
      <c r="CO27" s="10">
        <f t="shared" si="108"/>
        <v>20359.944</v>
      </c>
      <c r="CP27" s="10">
        <f t="shared" si="108"/>
        <v>22901.616000000002</v>
      </c>
      <c r="CQ27" s="10">
        <f t="shared" si="108"/>
        <v>22852.908000000003</v>
      </c>
      <c r="CR27" s="85" t="s">
        <v>159</v>
      </c>
      <c r="CS27" s="53" t="s">
        <v>6</v>
      </c>
      <c r="CT27" s="53">
        <v>2.11</v>
      </c>
      <c r="CU27" s="10">
        <f>$CT$27*12*CU39</f>
        <v>11505.407999999999</v>
      </c>
      <c r="CV27" s="10">
        <f t="shared" ref="CV27:CZ27" si="109">$CT$27*12*CV39</f>
        <v>11702.904</v>
      </c>
      <c r="CW27" s="10">
        <f t="shared" si="109"/>
        <v>11794.056</v>
      </c>
      <c r="CX27" s="10">
        <f t="shared" si="109"/>
        <v>11973.828</v>
      </c>
      <c r="CY27" s="10">
        <f t="shared" si="109"/>
        <v>11586.432000000001</v>
      </c>
      <c r="CZ27" s="10">
        <f t="shared" si="109"/>
        <v>11718.096</v>
      </c>
      <c r="DA27" s="85" t="s">
        <v>116</v>
      </c>
      <c r="DB27" s="53" t="s">
        <v>6</v>
      </c>
      <c r="DC27" s="53">
        <v>0.85</v>
      </c>
      <c r="DD27" s="10">
        <f>$DC$27*12*DD39</f>
        <v>4996.9799999999996</v>
      </c>
      <c r="DE27" s="10">
        <f t="shared" ref="DE27:DW27" si="110">$DC$27*12*DE39</f>
        <v>5655.9</v>
      </c>
      <c r="DF27" s="10">
        <f t="shared" si="110"/>
        <v>10139.82</v>
      </c>
      <c r="DG27" s="10">
        <f t="shared" si="110"/>
        <v>4569.5999999999995</v>
      </c>
      <c r="DH27" s="10">
        <f t="shared" si="110"/>
        <v>5763</v>
      </c>
      <c r="DI27" s="10">
        <f t="shared" si="110"/>
        <v>5774.22</v>
      </c>
      <c r="DJ27" s="10">
        <f t="shared" si="110"/>
        <v>5153.04</v>
      </c>
      <c r="DK27" s="10">
        <f t="shared" si="110"/>
        <v>5193.8399999999992</v>
      </c>
      <c r="DL27" s="10">
        <f t="shared" si="110"/>
        <v>5802.78</v>
      </c>
      <c r="DM27" s="10">
        <f t="shared" si="110"/>
        <v>4894.9799999999996</v>
      </c>
      <c r="DN27" s="10">
        <f t="shared" si="110"/>
        <v>5684.4599999999991</v>
      </c>
      <c r="DO27" s="10">
        <f t="shared" si="110"/>
        <v>4602.24</v>
      </c>
      <c r="DP27" s="10">
        <f t="shared" si="110"/>
        <v>7337.8799999999992</v>
      </c>
      <c r="DQ27" s="10">
        <f t="shared" si="110"/>
        <v>4633.8599999999997</v>
      </c>
      <c r="DR27" s="10">
        <f t="shared" si="110"/>
        <v>4889.8799999999992</v>
      </c>
      <c r="DS27" s="10">
        <f t="shared" si="110"/>
        <v>4716.4799999999996</v>
      </c>
      <c r="DT27" s="10">
        <f t="shared" si="110"/>
        <v>4760.3399999999992</v>
      </c>
      <c r="DU27" s="10">
        <f t="shared" si="110"/>
        <v>4288.079999999999</v>
      </c>
      <c r="DV27" s="10">
        <f t="shared" si="110"/>
        <v>9038.2199999999993</v>
      </c>
      <c r="DW27" s="10">
        <f t="shared" si="110"/>
        <v>5444.7599999999993</v>
      </c>
      <c r="DX27" s="85" t="s">
        <v>139</v>
      </c>
      <c r="DY27" s="53" t="s">
        <v>6</v>
      </c>
      <c r="DZ27" s="53">
        <v>2.25</v>
      </c>
      <c r="EA27" s="10">
        <f>$DZ$27*12*EA39</f>
        <v>13227.3</v>
      </c>
      <c r="EB27" s="10">
        <f t="shared" ref="EB27:EC27" si="111">$DZ$27*12*EB39</f>
        <v>12579.3</v>
      </c>
      <c r="EC27" s="10">
        <f t="shared" si="111"/>
        <v>12633.3</v>
      </c>
      <c r="ED27" s="85" t="s">
        <v>159</v>
      </c>
      <c r="EE27" s="53" t="s">
        <v>6</v>
      </c>
      <c r="EF27" s="53">
        <v>1.41</v>
      </c>
      <c r="EG27" s="10">
        <f>$EF$27*12*EG39</f>
        <v>7713.8279999999986</v>
      </c>
      <c r="EH27" s="99">
        <f>$EF$27*12*EH39</f>
        <v>7035.3359999999993</v>
      </c>
      <c r="EI27" s="126" t="s">
        <v>198</v>
      </c>
      <c r="EJ27" s="127" t="s">
        <v>6</v>
      </c>
      <c r="EK27" s="114">
        <f>2.49*12*EK39</f>
        <v>112510.15200000002</v>
      </c>
      <c r="EL27" s="117">
        <f>2.77*12*EL39</f>
        <v>131175.01200000002</v>
      </c>
      <c r="EM27" s="114">
        <f>(0.82+0.09+0.67+0.48+0.48+0.11+0.11+0.52+0.05+1.05)*12*EM39</f>
        <v>133297.416</v>
      </c>
      <c r="EN27" s="117">
        <f>2.77*12*EN39</f>
        <v>76757.808000000005</v>
      </c>
      <c r="EO27" s="117">
        <f>2.77*12*EO39</f>
        <v>124154.724</v>
      </c>
      <c r="EP27" s="110"/>
      <c r="EQ27" s="110"/>
      <c r="ER27" s="154"/>
    </row>
    <row r="28" spans="1:148" s="1" customFormat="1" ht="24.75" customHeight="1" x14ac:dyDescent="0.2">
      <c r="A28" s="55" t="s">
        <v>5</v>
      </c>
      <c r="B28" s="64"/>
      <c r="C28" s="58">
        <f>SUM(C29:C33)</f>
        <v>10.93</v>
      </c>
      <c r="D28" s="36">
        <f>SUM(D29:D33)</f>
        <v>63297.815999999999</v>
      </c>
      <c r="E28" s="36">
        <f t="shared" ref="E28:BR28" si="112">SUM(E29:E33)</f>
        <v>77528.676000000007</v>
      </c>
      <c r="F28" s="36">
        <f t="shared" si="112"/>
        <v>94894.26</v>
      </c>
      <c r="G28" s="36">
        <f t="shared" si="112"/>
        <v>60504.108000000007</v>
      </c>
      <c r="H28" s="36">
        <f t="shared" si="112"/>
        <v>56005.319999999992</v>
      </c>
      <c r="I28" s="36">
        <f t="shared" si="112"/>
        <v>178836.65999999997</v>
      </c>
      <c r="J28" s="36">
        <f t="shared" si="112"/>
        <v>76440.047999999981</v>
      </c>
      <c r="K28" s="36">
        <f t="shared" si="112"/>
        <v>76138.37999999999</v>
      </c>
      <c r="L28" s="36">
        <f t="shared" si="112"/>
        <v>72426.551999999996</v>
      </c>
      <c r="M28" s="36">
        <f t="shared" si="112"/>
        <v>74026.703999999983</v>
      </c>
      <c r="N28" s="36">
        <f t="shared" si="112"/>
        <v>79128.827999999994</v>
      </c>
      <c r="O28" s="36">
        <f t="shared" si="112"/>
        <v>45381.359999999993</v>
      </c>
      <c r="P28" s="36">
        <f t="shared" si="112"/>
        <v>106108.44</v>
      </c>
      <c r="Q28" s="36">
        <f t="shared" si="112"/>
        <v>81830.723999999987</v>
      </c>
      <c r="R28" s="36">
        <f t="shared" si="112"/>
        <v>81856.956000000006</v>
      </c>
      <c r="S28" s="36">
        <f t="shared" si="112"/>
        <v>76059.683999999994</v>
      </c>
      <c r="T28" s="36">
        <f t="shared" si="112"/>
        <v>60976.283999999992</v>
      </c>
      <c r="U28" s="36">
        <f t="shared" si="112"/>
        <v>83024.28</v>
      </c>
      <c r="V28" s="36">
        <f t="shared" si="112"/>
        <v>68596.679999999993</v>
      </c>
      <c r="W28" s="36">
        <f t="shared" si="112"/>
        <v>95523.827999999994</v>
      </c>
      <c r="X28" s="36">
        <f t="shared" si="112"/>
        <v>64609.415999999997</v>
      </c>
      <c r="Y28" s="36">
        <f t="shared" si="112"/>
        <v>73843.079999999987</v>
      </c>
      <c r="Z28" s="36">
        <f t="shared" si="112"/>
        <v>56241.408000000003</v>
      </c>
      <c r="AA28" s="43">
        <f t="shared" ref="AA28" si="113">SUM(AA29:AA33)</f>
        <v>78473.027999999977</v>
      </c>
      <c r="AB28" s="36">
        <f t="shared" si="112"/>
        <v>59992.583999999995</v>
      </c>
      <c r="AC28" s="36">
        <f t="shared" si="112"/>
        <v>66222.683999999994</v>
      </c>
      <c r="AD28" s="36">
        <f t="shared" si="112"/>
        <v>62340.347999999998</v>
      </c>
      <c r="AE28" s="36">
        <f t="shared" si="112"/>
        <v>60399.18</v>
      </c>
      <c r="AF28" s="36">
        <f t="shared" si="112"/>
        <v>73934.891999999993</v>
      </c>
      <c r="AG28" s="36">
        <f t="shared" si="112"/>
        <v>95602.52399999999</v>
      </c>
      <c r="AH28" s="36">
        <f t="shared" si="112"/>
        <v>60687.731999999996</v>
      </c>
      <c r="AI28" s="43">
        <f t="shared" ref="AI28" si="114">SUM(AI29:AI33)</f>
        <v>59795.843999999997</v>
      </c>
      <c r="AJ28" s="36">
        <f t="shared" si="112"/>
        <v>67744.14</v>
      </c>
      <c r="AK28" s="36">
        <f t="shared" si="112"/>
        <v>67796.603999999992</v>
      </c>
      <c r="AL28" s="36">
        <f t="shared" si="112"/>
        <v>67363.776000000013</v>
      </c>
      <c r="AM28" s="36">
        <f t="shared" si="112"/>
        <v>61973.1</v>
      </c>
      <c r="AN28" s="36">
        <f t="shared" si="112"/>
        <v>62550.203999999991</v>
      </c>
      <c r="AO28" s="36">
        <f t="shared" si="112"/>
        <v>63297.815999999999</v>
      </c>
      <c r="AP28" s="36">
        <f t="shared" si="112"/>
        <v>62143.608000000007</v>
      </c>
      <c r="AQ28" s="36">
        <f t="shared" si="112"/>
        <v>68006.459999999992</v>
      </c>
      <c r="AR28" s="36">
        <f t="shared" si="112"/>
        <v>73934.891999999993</v>
      </c>
      <c r="AS28" s="36">
        <f t="shared" si="112"/>
        <v>63179.77199999999</v>
      </c>
      <c r="AT28" s="36">
        <f t="shared" si="112"/>
        <v>114987.97200000002</v>
      </c>
      <c r="AU28" s="36">
        <f t="shared" si="112"/>
        <v>62300.999999999993</v>
      </c>
      <c r="AV28" s="36">
        <f t="shared" si="112"/>
        <v>59795.843999999997</v>
      </c>
      <c r="AW28" s="36">
        <f t="shared" si="112"/>
        <v>63678.18</v>
      </c>
      <c r="AX28" s="36">
        <f t="shared" si="112"/>
        <v>75535.043999999994</v>
      </c>
      <c r="AY28" s="36">
        <f t="shared" si="112"/>
        <v>56254.52399999999</v>
      </c>
      <c r="AZ28" s="36">
        <f t="shared" si="112"/>
        <v>95445.131999999998</v>
      </c>
      <c r="BA28" s="36">
        <f t="shared" si="112"/>
        <v>55021.619999999995</v>
      </c>
      <c r="BB28" s="36">
        <f t="shared" si="112"/>
        <v>78092.66399999999</v>
      </c>
      <c r="BC28" s="36">
        <f t="shared" si="112"/>
        <v>97045.284</v>
      </c>
      <c r="BD28" s="36">
        <f t="shared" si="112"/>
        <v>127802.30399999997</v>
      </c>
      <c r="BE28" s="36">
        <f t="shared" si="112"/>
        <v>74538.227999999988</v>
      </c>
      <c r="BF28" s="36">
        <f t="shared" si="112"/>
        <v>87077.123999999996</v>
      </c>
      <c r="BG28" s="36">
        <f t="shared" si="112"/>
        <v>69698.423999999985</v>
      </c>
      <c r="BH28" s="36">
        <f t="shared" si="112"/>
        <v>105452.63999999997</v>
      </c>
      <c r="BI28" s="36">
        <f t="shared" si="112"/>
        <v>55310.171999999991</v>
      </c>
      <c r="BJ28" s="36">
        <f t="shared" si="112"/>
        <v>45433.823999999993</v>
      </c>
      <c r="BK28" s="36">
        <f t="shared" si="112"/>
        <v>62091.143999999986</v>
      </c>
      <c r="BL28" s="36">
        <f t="shared" si="112"/>
        <v>63940.499999999993</v>
      </c>
      <c r="BM28" s="36">
        <f t="shared" si="112"/>
        <v>71311.691999999995</v>
      </c>
      <c r="BN28" s="36">
        <f t="shared" si="112"/>
        <v>67796.603999999992</v>
      </c>
      <c r="BO28" s="36">
        <f t="shared" si="112"/>
        <v>76977.803999999989</v>
      </c>
      <c r="BP28" s="36">
        <f t="shared" si="112"/>
        <v>57356.267999999996</v>
      </c>
      <c r="BQ28" s="36">
        <f t="shared" si="112"/>
        <v>56556.192000000003</v>
      </c>
      <c r="BR28" s="36">
        <f t="shared" si="112"/>
        <v>61487.807999999997</v>
      </c>
      <c r="BS28" s="36">
        <f t="shared" ref="BS28:CI28" si="115">SUM(BS29:BS33)</f>
        <v>79915.787999999971</v>
      </c>
      <c r="BT28" s="36">
        <f t="shared" si="115"/>
        <v>72518.363999999987</v>
      </c>
      <c r="BU28" s="36">
        <f t="shared" si="115"/>
        <v>66091.52399999999</v>
      </c>
      <c r="BV28" s="36">
        <f t="shared" si="115"/>
        <v>68937.695999999996</v>
      </c>
      <c r="BW28" s="36">
        <f t="shared" si="115"/>
        <v>66524.351999999999</v>
      </c>
      <c r="BX28" s="36">
        <f t="shared" si="115"/>
        <v>66432.539999999994</v>
      </c>
      <c r="BY28" s="36">
        <f t="shared" si="115"/>
        <v>65304.563999999998</v>
      </c>
      <c r="BZ28" s="36">
        <f t="shared" si="115"/>
        <v>67678.559999999998</v>
      </c>
      <c r="CA28" s="36">
        <f t="shared" si="115"/>
        <v>69068.855999999985</v>
      </c>
      <c r="CB28" s="36">
        <f t="shared" si="115"/>
        <v>67993.343999999997</v>
      </c>
      <c r="CC28" s="36">
        <f t="shared" si="115"/>
        <v>71993.723999999987</v>
      </c>
      <c r="CD28" s="36">
        <f t="shared" si="115"/>
        <v>60727.079999999994</v>
      </c>
      <c r="CE28" s="36">
        <f t="shared" si="115"/>
        <v>51152.4</v>
      </c>
      <c r="CF28" s="36">
        <f t="shared" si="115"/>
        <v>58431.779999999992</v>
      </c>
      <c r="CG28" s="36">
        <f t="shared" si="115"/>
        <v>68701.607999999978</v>
      </c>
      <c r="CH28" s="36">
        <f t="shared" si="115"/>
        <v>74118.516000000003</v>
      </c>
      <c r="CI28" s="36">
        <f t="shared" si="115"/>
        <v>56490.611999999994</v>
      </c>
      <c r="CJ28" s="82" t="s">
        <v>5</v>
      </c>
      <c r="CK28" s="83"/>
      <c r="CL28" s="58">
        <f>SUM(CL29:CL33)</f>
        <v>6.4999999999999991</v>
      </c>
      <c r="CM28" s="36">
        <f>SUM(CM29:CM33)</f>
        <v>38212.199999999997</v>
      </c>
      <c r="CN28" s="36">
        <f t="shared" ref="CN28:CQ28" si="116">SUM(CN29:CN33)</f>
        <v>35560.199999999997</v>
      </c>
      <c r="CO28" s="36">
        <f t="shared" si="116"/>
        <v>35864.400000000001</v>
      </c>
      <c r="CP28" s="36">
        <f t="shared" si="116"/>
        <v>40341.600000000006</v>
      </c>
      <c r="CQ28" s="36">
        <f t="shared" si="116"/>
        <v>40255.799999999996</v>
      </c>
      <c r="CR28" s="82" t="s">
        <v>5</v>
      </c>
      <c r="CS28" s="83"/>
      <c r="CT28" s="58">
        <f>SUM(CT29:CT33)</f>
        <v>6.46</v>
      </c>
      <c r="CU28" s="36">
        <f>SUM(CU29:CU33)</f>
        <v>35225.087999999996</v>
      </c>
      <c r="CV28" s="36">
        <f t="shared" ref="CV28:CZ28" si="117">SUM(CV29:CV33)</f>
        <v>35829.743999999992</v>
      </c>
      <c r="CW28" s="36">
        <f t="shared" si="117"/>
        <v>36108.815999999999</v>
      </c>
      <c r="CX28" s="36">
        <f t="shared" si="117"/>
        <v>36659.207999999999</v>
      </c>
      <c r="CY28" s="36">
        <f t="shared" si="117"/>
        <v>35473.152000000002</v>
      </c>
      <c r="CZ28" s="36">
        <f t="shared" si="117"/>
        <v>35876.256000000001</v>
      </c>
      <c r="DA28" s="82" t="s">
        <v>5</v>
      </c>
      <c r="DB28" s="83"/>
      <c r="DC28" s="58">
        <f>SUM(DC29:DC33)</f>
        <v>7.24</v>
      </c>
      <c r="DD28" s="36">
        <f>SUM(DD29:DD33)</f>
        <v>42562.511999999995</v>
      </c>
      <c r="DE28" s="36">
        <f t="shared" ref="DE28:DW28" si="118">SUM(DE29:DE33)</f>
        <v>48174.96</v>
      </c>
      <c r="DF28" s="36">
        <f t="shared" si="118"/>
        <v>86367.407999999996</v>
      </c>
      <c r="DG28" s="36">
        <f t="shared" si="118"/>
        <v>38922.240000000005</v>
      </c>
      <c r="DH28" s="36">
        <f t="shared" si="118"/>
        <v>49087.199999999997</v>
      </c>
      <c r="DI28" s="36">
        <f t="shared" si="118"/>
        <v>49182.767999999996</v>
      </c>
      <c r="DJ28" s="36">
        <f t="shared" si="118"/>
        <v>43891.775999999998</v>
      </c>
      <c r="DK28" s="36">
        <f t="shared" si="118"/>
        <v>44239.295999999995</v>
      </c>
      <c r="DL28" s="36">
        <f t="shared" si="118"/>
        <v>49426.031999999992</v>
      </c>
      <c r="DM28" s="36">
        <f t="shared" si="118"/>
        <v>41693.711999999992</v>
      </c>
      <c r="DN28" s="36">
        <f t="shared" si="118"/>
        <v>48418.223999999995</v>
      </c>
      <c r="DO28" s="36">
        <f t="shared" si="118"/>
        <v>39200.255999999994</v>
      </c>
      <c r="DP28" s="36">
        <f t="shared" si="118"/>
        <v>62501.472000000002</v>
      </c>
      <c r="DQ28" s="36">
        <f t="shared" si="118"/>
        <v>39469.583999999995</v>
      </c>
      <c r="DR28" s="36">
        <f t="shared" si="118"/>
        <v>41650.271999999997</v>
      </c>
      <c r="DS28" s="36">
        <f t="shared" si="118"/>
        <v>40173.311999999998</v>
      </c>
      <c r="DT28" s="36">
        <f t="shared" si="118"/>
        <v>40546.895999999993</v>
      </c>
      <c r="DU28" s="36">
        <f t="shared" si="118"/>
        <v>36524.351999999999</v>
      </c>
      <c r="DV28" s="36">
        <f t="shared" si="118"/>
        <v>76984.368000000002</v>
      </c>
      <c r="DW28" s="36">
        <f t="shared" si="118"/>
        <v>46376.543999999994</v>
      </c>
      <c r="DX28" s="82" t="s">
        <v>5</v>
      </c>
      <c r="DY28" s="83"/>
      <c r="DZ28" s="58">
        <f>SUM(DZ29:DZ33)</f>
        <v>4.62</v>
      </c>
      <c r="EA28" s="36">
        <f>SUM(EA29:EA33)</f>
        <v>27160.056</v>
      </c>
      <c r="EB28" s="36">
        <f t="shared" ref="EB28:EC28" si="119">SUM(EB29:EB33)</f>
        <v>25829.496000000003</v>
      </c>
      <c r="EC28" s="36">
        <f t="shared" si="119"/>
        <v>25940.376</v>
      </c>
      <c r="ED28" s="82" t="s">
        <v>5</v>
      </c>
      <c r="EE28" s="83"/>
      <c r="EF28" s="58">
        <f>SUM(EF29:EF33)</f>
        <v>4</v>
      </c>
      <c r="EG28" s="36">
        <f>SUM(EG29:EG33)</f>
        <v>21883.199999999997</v>
      </c>
      <c r="EH28" s="102">
        <f>SUM(EH29:EH33)</f>
        <v>19958.399999999998</v>
      </c>
      <c r="EI28" s="124" t="s">
        <v>5</v>
      </c>
      <c r="EJ28" s="128"/>
      <c r="EK28" s="113">
        <f>SUM(EK29:EK30)</f>
        <v>175317.02399999998</v>
      </c>
      <c r="EL28" s="113">
        <f>SUM(EL29:EL30)</f>
        <v>223044.87600000002</v>
      </c>
      <c r="EM28" s="113">
        <f>SUM(EM29:EM30)</f>
        <v>107124.864</v>
      </c>
      <c r="EN28" s="113">
        <f>SUM(EN29:EN30)</f>
        <v>130515.98399999998</v>
      </c>
      <c r="EO28" s="113">
        <f>SUM(EO29:EO30)</f>
        <v>211107.85200000001</v>
      </c>
      <c r="EP28" s="108"/>
      <c r="EQ28" s="108"/>
      <c r="ER28" s="154"/>
    </row>
    <row r="29" spans="1:148" s="48" customFormat="1" ht="105" customHeight="1" x14ac:dyDescent="0.2">
      <c r="A29" s="54" t="s">
        <v>117</v>
      </c>
      <c r="B29" s="64" t="s">
        <v>23</v>
      </c>
      <c r="C29" s="68">
        <v>6.6</v>
      </c>
      <c r="D29" s="47">
        <f>$C$29*12*D39</f>
        <v>38221.919999999998</v>
      </c>
      <c r="E29" s="47">
        <f t="shared" ref="E29:BR29" si="120">$C$29*12*E39</f>
        <v>46815.119999999995</v>
      </c>
      <c r="F29" s="47">
        <f t="shared" si="120"/>
        <v>57301.19999999999</v>
      </c>
      <c r="G29" s="47">
        <f t="shared" si="120"/>
        <v>36534.959999999999</v>
      </c>
      <c r="H29" s="47">
        <f t="shared" si="120"/>
        <v>33818.399999999994</v>
      </c>
      <c r="I29" s="47">
        <f t="shared" si="120"/>
        <v>107989.19999999998</v>
      </c>
      <c r="J29" s="47">
        <f t="shared" si="120"/>
        <v>46157.759999999987</v>
      </c>
      <c r="K29" s="47">
        <f t="shared" si="120"/>
        <v>45975.599999999991</v>
      </c>
      <c r="L29" s="47">
        <f t="shared" si="120"/>
        <v>43734.239999999998</v>
      </c>
      <c r="M29" s="47">
        <f t="shared" si="120"/>
        <v>44700.479999999989</v>
      </c>
      <c r="N29" s="47">
        <f t="shared" si="120"/>
        <v>47781.359999999986</v>
      </c>
      <c r="O29" s="47">
        <f t="shared" si="120"/>
        <v>27403.199999999997</v>
      </c>
      <c r="P29" s="47">
        <f t="shared" si="120"/>
        <v>64072.799999999988</v>
      </c>
      <c r="Q29" s="47">
        <f t="shared" si="120"/>
        <v>49412.87999999999</v>
      </c>
      <c r="R29" s="47">
        <f t="shared" si="120"/>
        <v>49428.719999999994</v>
      </c>
      <c r="S29" s="47">
        <f t="shared" si="120"/>
        <v>45928.079999999994</v>
      </c>
      <c r="T29" s="47">
        <f t="shared" si="120"/>
        <v>36820.079999999994</v>
      </c>
      <c r="U29" s="47">
        <f t="shared" si="120"/>
        <v>50133.599999999991</v>
      </c>
      <c r="V29" s="47">
        <f t="shared" si="120"/>
        <v>41421.599999999991</v>
      </c>
      <c r="W29" s="47">
        <f t="shared" si="120"/>
        <v>57681.359999999986</v>
      </c>
      <c r="X29" s="47">
        <f t="shared" si="120"/>
        <v>39013.919999999998</v>
      </c>
      <c r="Y29" s="47">
        <f t="shared" si="120"/>
        <v>44589.599999999991</v>
      </c>
      <c r="Z29" s="47">
        <f t="shared" si="120"/>
        <v>33960.959999999999</v>
      </c>
      <c r="AA29" s="47">
        <f t="shared" ref="AA29" si="121">$C$29*12*AA39</f>
        <v>47385.359999999986</v>
      </c>
      <c r="AB29" s="47">
        <f t="shared" si="120"/>
        <v>36226.079999999994</v>
      </c>
      <c r="AC29" s="47">
        <f t="shared" si="120"/>
        <v>39988.079999999994</v>
      </c>
      <c r="AD29" s="47">
        <f t="shared" si="120"/>
        <v>37643.759999999995</v>
      </c>
      <c r="AE29" s="47">
        <f t="shared" si="120"/>
        <v>36471.599999999991</v>
      </c>
      <c r="AF29" s="47">
        <f t="shared" si="120"/>
        <v>44645.039999999994</v>
      </c>
      <c r="AG29" s="47">
        <f t="shared" si="120"/>
        <v>57728.87999999999</v>
      </c>
      <c r="AH29" s="47">
        <f t="shared" si="120"/>
        <v>36645.839999999997</v>
      </c>
      <c r="AI29" s="47">
        <f t="shared" ref="AI29" si="122">$C$29*12*AI39</f>
        <v>36107.279999999992</v>
      </c>
      <c r="AJ29" s="47">
        <f t="shared" si="120"/>
        <v>40906.799999999996</v>
      </c>
      <c r="AK29" s="47">
        <f t="shared" si="120"/>
        <v>40938.479999999996</v>
      </c>
      <c r="AL29" s="47">
        <f t="shared" si="120"/>
        <v>40677.119999999995</v>
      </c>
      <c r="AM29" s="47">
        <f t="shared" si="120"/>
        <v>37421.999999999993</v>
      </c>
      <c r="AN29" s="47">
        <f t="shared" si="120"/>
        <v>37770.479999999996</v>
      </c>
      <c r="AO29" s="47">
        <f t="shared" si="120"/>
        <v>38221.919999999998</v>
      </c>
      <c r="AP29" s="47">
        <f t="shared" si="120"/>
        <v>37524.959999999999</v>
      </c>
      <c r="AQ29" s="47">
        <f t="shared" si="120"/>
        <v>41065.199999999997</v>
      </c>
      <c r="AR29" s="47">
        <f t="shared" si="120"/>
        <v>44645.039999999994</v>
      </c>
      <c r="AS29" s="47">
        <f t="shared" si="120"/>
        <v>38150.639999999992</v>
      </c>
      <c r="AT29" s="47">
        <f t="shared" si="120"/>
        <v>69434.64</v>
      </c>
      <c r="AU29" s="47">
        <f t="shared" si="120"/>
        <v>37619.999999999993</v>
      </c>
      <c r="AV29" s="47">
        <f t="shared" si="120"/>
        <v>36107.279999999992</v>
      </c>
      <c r="AW29" s="47">
        <f t="shared" si="120"/>
        <v>38451.599999999991</v>
      </c>
      <c r="AX29" s="47">
        <f t="shared" si="120"/>
        <v>45611.279999999992</v>
      </c>
      <c r="AY29" s="47">
        <f t="shared" si="120"/>
        <v>33968.87999999999</v>
      </c>
      <c r="AZ29" s="47">
        <f t="shared" si="120"/>
        <v>57633.84</v>
      </c>
      <c r="BA29" s="47">
        <f t="shared" si="120"/>
        <v>33224.399999999994</v>
      </c>
      <c r="BB29" s="47">
        <f t="shared" si="120"/>
        <v>47155.679999999993</v>
      </c>
      <c r="BC29" s="47">
        <f t="shared" si="120"/>
        <v>58600.079999999987</v>
      </c>
      <c r="BD29" s="47">
        <f t="shared" si="120"/>
        <v>77172.479999999981</v>
      </c>
      <c r="BE29" s="47">
        <f t="shared" si="120"/>
        <v>45009.359999999993</v>
      </c>
      <c r="BF29" s="47">
        <f t="shared" si="120"/>
        <v>52580.87999999999</v>
      </c>
      <c r="BG29" s="47">
        <f t="shared" si="120"/>
        <v>42086.87999999999</v>
      </c>
      <c r="BH29" s="47">
        <f t="shared" si="120"/>
        <v>63676.799999999988</v>
      </c>
      <c r="BI29" s="47">
        <f t="shared" si="120"/>
        <v>33398.639999999992</v>
      </c>
      <c r="BJ29" s="47">
        <f t="shared" si="120"/>
        <v>27434.879999999994</v>
      </c>
      <c r="BK29" s="47">
        <f t="shared" si="120"/>
        <v>37493.279999999992</v>
      </c>
      <c r="BL29" s="47">
        <f t="shared" si="120"/>
        <v>38609.999999999993</v>
      </c>
      <c r="BM29" s="47">
        <f t="shared" si="120"/>
        <v>43061.04</v>
      </c>
      <c r="BN29" s="47">
        <f t="shared" si="120"/>
        <v>40938.479999999996</v>
      </c>
      <c r="BO29" s="47">
        <f t="shared" si="120"/>
        <v>46482.479999999989</v>
      </c>
      <c r="BP29" s="47">
        <f t="shared" si="120"/>
        <v>34634.159999999996</v>
      </c>
      <c r="BQ29" s="47">
        <f t="shared" si="120"/>
        <v>34151.039999999994</v>
      </c>
      <c r="BR29" s="47">
        <f t="shared" si="120"/>
        <v>37128.959999999999</v>
      </c>
      <c r="BS29" s="47">
        <f t="shared" ref="BS29:CI29" si="123">$C$29*12*BS39</f>
        <v>48256.55999999999</v>
      </c>
      <c r="BT29" s="47">
        <f t="shared" si="123"/>
        <v>43789.679999999993</v>
      </c>
      <c r="BU29" s="47">
        <f t="shared" si="123"/>
        <v>39908.87999999999</v>
      </c>
      <c r="BV29" s="47">
        <f t="shared" si="123"/>
        <v>41627.519999999997</v>
      </c>
      <c r="BW29" s="47">
        <f t="shared" si="123"/>
        <v>40170.239999999991</v>
      </c>
      <c r="BX29" s="47">
        <f t="shared" si="123"/>
        <v>40114.799999999996</v>
      </c>
      <c r="BY29" s="47">
        <f t="shared" si="123"/>
        <v>39433.679999999993</v>
      </c>
      <c r="BZ29" s="47">
        <f t="shared" si="123"/>
        <v>40867.199999999997</v>
      </c>
      <c r="CA29" s="47">
        <f t="shared" si="123"/>
        <v>41706.719999999994</v>
      </c>
      <c r="CB29" s="47">
        <f t="shared" si="123"/>
        <v>41057.279999999992</v>
      </c>
      <c r="CC29" s="47">
        <f t="shared" si="123"/>
        <v>43472.87999999999</v>
      </c>
      <c r="CD29" s="47">
        <f t="shared" si="123"/>
        <v>36669.599999999991</v>
      </c>
      <c r="CE29" s="47">
        <f t="shared" si="123"/>
        <v>30887.999999999996</v>
      </c>
      <c r="CF29" s="47">
        <f t="shared" si="123"/>
        <v>35283.599999999999</v>
      </c>
      <c r="CG29" s="47">
        <f t="shared" si="123"/>
        <v>41484.959999999992</v>
      </c>
      <c r="CH29" s="47">
        <f t="shared" si="123"/>
        <v>44755.92</v>
      </c>
      <c r="CI29" s="47">
        <f t="shared" si="123"/>
        <v>34111.439999999995</v>
      </c>
      <c r="CJ29" s="85" t="s">
        <v>140</v>
      </c>
      <c r="CK29" s="89" t="s">
        <v>141</v>
      </c>
      <c r="CL29" s="53">
        <f>2.52</f>
        <v>2.52</v>
      </c>
      <c r="CM29" s="47">
        <f>$CL$29*12*CM39</f>
        <v>14814.576000000001</v>
      </c>
      <c r="CN29" s="47">
        <f t="shared" ref="CN29:CQ29" si="124">$CL$29*12*CN39</f>
        <v>13786.416000000001</v>
      </c>
      <c r="CO29" s="47">
        <f t="shared" si="124"/>
        <v>13904.352000000001</v>
      </c>
      <c r="CP29" s="47">
        <f t="shared" si="124"/>
        <v>15640.128000000002</v>
      </c>
      <c r="CQ29" s="47">
        <f t="shared" si="124"/>
        <v>15606.864000000001</v>
      </c>
      <c r="CR29" s="85" t="s">
        <v>160</v>
      </c>
      <c r="CS29" s="89" t="s">
        <v>161</v>
      </c>
      <c r="CT29" s="53">
        <v>1.81</v>
      </c>
      <c r="CU29" s="47">
        <f>$CT$29*12*CU39</f>
        <v>9869.5679999999993</v>
      </c>
      <c r="CV29" s="47">
        <f t="shared" ref="CV29:CZ29" si="125">$CT$29*12*CV39</f>
        <v>10038.983999999999</v>
      </c>
      <c r="CW29" s="47">
        <f t="shared" si="125"/>
        <v>10117.175999999999</v>
      </c>
      <c r="CX29" s="47">
        <f t="shared" si="125"/>
        <v>10271.387999999999</v>
      </c>
      <c r="CY29" s="47">
        <f t="shared" si="125"/>
        <v>9939.0720000000001</v>
      </c>
      <c r="CZ29" s="47">
        <f t="shared" si="125"/>
        <v>10052.016</v>
      </c>
      <c r="DA29" s="85" t="s">
        <v>117</v>
      </c>
      <c r="DB29" s="89" t="s">
        <v>23</v>
      </c>
      <c r="DC29" s="53">
        <v>4.5999999999999996</v>
      </c>
      <c r="DD29" s="47">
        <f>$DC$29*12*DD39</f>
        <v>27042.479999999996</v>
      </c>
      <c r="DE29" s="47">
        <f t="shared" ref="DE29:DW29" si="126">$DC$29*12*DE39</f>
        <v>30608.399999999998</v>
      </c>
      <c r="DF29" s="47">
        <f t="shared" si="126"/>
        <v>54874.32</v>
      </c>
      <c r="DG29" s="47">
        <f t="shared" si="126"/>
        <v>24729.599999999999</v>
      </c>
      <c r="DH29" s="47">
        <f t="shared" si="126"/>
        <v>31187.999999999996</v>
      </c>
      <c r="DI29" s="47">
        <f t="shared" si="126"/>
        <v>31248.719999999998</v>
      </c>
      <c r="DJ29" s="47">
        <f t="shared" si="126"/>
        <v>27887.039999999997</v>
      </c>
      <c r="DK29" s="47">
        <f t="shared" si="126"/>
        <v>28107.839999999997</v>
      </c>
      <c r="DL29" s="47">
        <f t="shared" si="126"/>
        <v>31403.279999999995</v>
      </c>
      <c r="DM29" s="47">
        <f t="shared" si="126"/>
        <v>26490.479999999996</v>
      </c>
      <c r="DN29" s="47">
        <f t="shared" si="126"/>
        <v>30762.959999999995</v>
      </c>
      <c r="DO29" s="47">
        <f t="shared" si="126"/>
        <v>24906.239999999998</v>
      </c>
      <c r="DP29" s="47">
        <f t="shared" si="126"/>
        <v>39710.879999999997</v>
      </c>
      <c r="DQ29" s="47">
        <f t="shared" si="126"/>
        <v>25077.359999999997</v>
      </c>
      <c r="DR29" s="47">
        <f t="shared" si="126"/>
        <v>26462.879999999997</v>
      </c>
      <c r="DS29" s="47">
        <f t="shared" si="126"/>
        <v>25524.479999999996</v>
      </c>
      <c r="DT29" s="47">
        <f t="shared" si="126"/>
        <v>25761.839999999997</v>
      </c>
      <c r="DU29" s="47">
        <f t="shared" si="126"/>
        <v>23206.079999999998</v>
      </c>
      <c r="DV29" s="47">
        <f t="shared" si="126"/>
        <v>48912.719999999994</v>
      </c>
      <c r="DW29" s="47">
        <f t="shared" si="126"/>
        <v>29465.759999999995</v>
      </c>
      <c r="DX29" s="85" t="s">
        <v>140</v>
      </c>
      <c r="DY29" s="89" t="s">
        <v>141</v>
      </c>
      <c r="DZ29" s="53">
        <f>1.87</f>
        <v>1.87</v>
      </c>
      <c r="EA29" s="47">
        <f>$DZ$29*12*EA39</f>
        <v>10993.356</v>
      </c>
      <c r="EB29" s="47">
        <f t="shared" ref="EB29:EC29" si="127">$DZ$29*12*EB39</f>
        <v>10454.796</v>
      </c>
      <c r="EC29" s="47">
        <f t="shared" si="127"/>
        <v>10499.675999999999</v>
      </c>
      <c r="ED29" s="85" t="s">
        <v>160</v>
      </c>
      <c r="EE29" s="89" t="s">
        <v>161</v>
      </c>
      <c r="EF29" s="53">
        <v>1.1499999999999999</v>
      </c>
      <c r="EG29" s="47">
        <f>$EF$29*12*EG39</f>
        <v>6291.4199999999992</v>
      </c>
      <c r="EH29" s="103">
        <f>$EF$29*12*EH39</f>
        <v>5738.04</v>
      </c>
      <c r="EI29" s="126" t="s">
        <v>199</v>
      </c>
      <c r="EJ29" s="129" t="s">
        <v>200</v>
      </c>
      <c r="EK29" s="117">
        <f>2.71*12*EK39</f>
        <v>122450.80799999999</v>
      </c>
      <c r="EL29" s="117">
        <f>2.97*12*EL39</f>
        <v>140646.13200000001</v>
      </c>
      <c r="EM29" s="117">
        <f>(0.18+0.44+0.64+0.23+0.07+0.42+0.03+0.08)*12*EM39</f>
        <v>63605.387999999992</v>
      </c>
      <c r="EN29" s="117">
        <f>2.97*12*EN39</f>
        <v>82299.887999999992</v>
      </c>
      <c r="EO29" s="117">
        <f>2.97*12*EO39</f>
        <v>133118.96400000001</v>
      </c>
      <c r="EP29" s="110"/>
      <c r="EQ29" s="110"/>
      <c r="ER29" s="2"/>
    </row>
    <row r="30" spans="1:148" s="1" customFormat="1" ht="63.75" customHeight="1" x14ac:dyDescent="0.2">
      <c r="A30" s="54" t="s">
        <v>118</v>
      </c>
      <c r="B30" s="64" t="s">
        <v>4</v>
      </c>
      <c r="C30" s="53">
        <v>1.37</v>
      </c>
      <c r="D30" s="47">
        <f>$C$30*12*D39</f>
        <v>7933.9440000000013</v>
      </c>
      <c r="E30" s="47">
        <f t="shared" ref="E30:BR30" si="128">$C$30*12*E39</f>
        <v>9717.6840000000011</v>
      </c>
      <c r="F30" s="47">
        <f t="shared" si="128"/>
        <v>11894.34</v>
      </c>
      <c r="G30" s="47">
        <f t="shared" si="128"/>
        <v>7583.7720000000008</v>
      </c>
      <c r="H30" s="47">
        <f t="shared" si="128"/>
        <v>7019.88</v>
      </c>
      <c r="I30" s="47">
        <f t="shared" si="128"/>
        <v>22415.940000000002</v>
      </c>
      <c r="J30" s="47">
        <f t="shared" si="128"/>
        <v>9581.232</v>
      </c>
      <c r="K30" s="47">
        <f t="shared" si="128"/>
        <v>9543.42</v>
      </c>
      <c r="L30" s="47">
        <f t="shared" si="128"/>
        <v>9078.1680000000015</v>
      </c>
      <c r="M30" s="47">
        <f t="shared" si="128"/>
        <v>9278.7360000000008</v>
      </c>
      <c r="N30" s="47">
        <f t="shared" si="128"/>
        <v>9918.2520000000004</v>
      </c>
      <c r="O30" s="47">
        <f t="shared" si="128"/>
        <v>5688.2400000000007</v>
      </c>
      <c r="P30" s="47">
        <f t="shared" si="128"/>
        <v>13299.960000000001</v>
      </c>
      <c r="Q30" s="47">
        <f t="shared" si="128"/>
        <v>10256.916000000001</v>
      </c>
      <c r="R30" s="47">
        <f t="shared" si="128"/>
        <v>10260.204000000002</v>
      </c>
      <c r="S30" s="47">
        <f t="shared" si="128"/>
        <v>9533.5560000000005</v>
      </c>
      <c r="T30" s="47">
        <f t="shared" si="128"/>
        <v>7642.9560000000001</v>
      </c>
      <c r="U30" s="47">
        <f t="shared" si="128"/>
        <v>10406.52</v>
      </c>
      <c r="V30" s="47">
        <f t="shared" si="128"/>
        <v>8598.1200000000008</v>
      </c>
      <c r="W30" s="47">
        <f t="shared" si="128"/>
        <v>11973.252</v>
      </c>
      <c r="X30" s="47">
        <f t="shared" si="128"/>
        <v>8098.344000000001</v>
      </c>
      <c r="Y30" s="47">
        <f t="shared" si="128"/>
        <v>9255.7200000000012</v>
      </c>
      <c r="Z30" s="47">
        <f t="shared" si="128"/>
        <v>7049.4720000000007</v>
      </c>
      <c r="AA30" s="47">
        <f t="shared" ref="AA30" si="129">$C$30*12*AA39</f>
        <v>9836.0519999999997</v>
      </c>
      <c r="AB30" s="47">
        <f t="shared" si="128"/>
        <v>7519.6559999999999</v>
      </c>
      <c r="AC30" s="47">
        <f t="shared" si="128"/>
        <v>8300.5560000000005</v>
      </c>
      <c r="AD30" s="47">
        <f t="shared" si="128"/>
        <v>7813.9320000000007</v>
      </c>
      <c r="AE30" s="47">
        <f t="shared" si="128"/>
        <v>7570.6200000000008</v>
      </c>
      <c r="AF30" s="47">
        <f t="shared" si="128"/>
        <v>9267.228000000001</v>
      </c>
      <c r="AG30" s="47">
        <f t="shared" si="128"/>
        <v>11983.116</v>
      </c>
      <c r="AH30" s="47">
        <f t="shared" si="128"/>
        <v>7606.7880000000005</v>
      </c>
      <c r="AI30" s="47">
        <f t="shared" ref="AI30" si="130">$C$30*12*AI39</f>
        <v>7494.9960000000001</v>
      </c>
      <c r="AJ30" s="47">
        <f t="shared" si="128"/>
        <v>8491.26</v>
      </c>
      <c r="AK30" s="47">
        <f t="shared" si="128"/>
        <v>8497.8360000000011</v>
      </c>
      <c r="AL30" s="47">
        <f t="shared" si="128"/>
        <v>8443.5840000000007</v>
      </c>
      <c r="AM30" s="47">
        <f t="shared" si="128"/>
        <v>7767.9000000000005</v>
      </c>
      <c r="AN30" s="47">
        <f t="shared" si="128"/>
        <v>7840.2359999999999</v>
      </c>
      <c r="AO30" s="47">
        <f t="shared" si="128"/>
        <v>7933.9440000000013</v>
      </c>
      <c r="AP30" s="47">
        <f t="shared" si="128"/>
        <v>7789.2720000000008</v>
      </c>
      <c r="AQ30" s="47">
        <f t="shared" si="128"/>
        <v>8524.1400000000012</v>
      </c>
      <c r="AR30" s="47">
        <f t="shared" si="128"/>
        <v>9267.228000000001</v>
      </c>
      <c r="AS30" s="47">
        <f t="shared" si="128"/>
        <v>7919.1480000000001</v>
      </c>
      <c r="AT30" s="47">
        <f t="shared" si="128"/>
        <v>14412.948000000002</v>
      </c>
      <c r="AU30" s="47">
        <f t="shared" si="128"/>
        <v>7809.0000000000009</v>
      </c>
      <c r="AV30" s="47">
        <f t="shared" si="128"/>
        <v>7494.9960000000001</v>
      </c>
      <c r="AW30" s="47">
        <f t="shared" si="128"/>
        <v>7981.6200000000008</v>
      </c>
      <c r="AX30" s="47">
        <f t="shared" si="128"/>
        <v>9467.7960000000003</v>
      </c>
      <c r="AY30" s="47">
        <f t="shared" si="128"/>
        <v>7051.116</v>
      </c>
      <c r="AZ30" s="47">
        <f t="shared" si="128"/>
        <v>11963.388000000001</v>
      </c>
      <c r="BA30" s="47">
        <f t="shared" si="128"/>
        <v>6896.5800000000008</v>
      </c>
      <c r="BB30" s="47">
        <f t="shared" si="128"/>
        <v>9788.3760000000002</v>
      </c>
      <c r="BC30" s="47">
        <f t="shared" si="128"/>
        <v>12163.956</v>
      </c>
      <c r="BD30" s="47">
        <f t="shared" si="128"/>
        <v>16019.136</v>
      </c>
      <c r="BE30" s="47">
        <f t="shared" si="128"/>
        <v>9342.8520000000008</v>
      </c>
      <c r="BF30" s="47">
        <f t="shared" si="128"/>
        <v>10914.516</v>
      </c>
      <c r="BG30" s="47">
        <f t="shared" si="128"/>
        <v>8736.2160000000003</v>
      </c>
      <c r="BH30" s="47">
        <f t="shared" si="128"/>
        <v>13217.76</v>
      </c>
      <c r="BI30" s="47">
        <f t="shared" si="128"/>
        <v>6932.7480000000005</v>
      </c>
      <c r="BJ30" s="47">
        <f t="shared" si="128"/>
        <v>5694.8159999999998</v>
      </c>
      <c r="BK30" s="47">
        <f t="shared" si="128"/>
        <v>7782.6959999999999</v>
      </c>
      <c r="BL30" s="47">
        <f t="shared" si="128"/>
        <v>8014.5000000000009</v>
      </c>
      <c r="BM30" s="47">
        <f t="shared" si="128"/>
        <v>8938.4280000000017</v>
      </c>
      <c r="BN30" s="47">
        <f t="shared" si="128"/>
        <v>8497.8360000000011</v>
      </c>
      <c r="BO30" s="47">
        <f t="shared" si="128"/>
        <v>9648.6360000000004</v>
      </c>
      <c r="BP30" s="47">
        <f t="shared" si="128"/>
        <v>7189.2120000000004</v>
      </c>
      <c r="BQ30" s="47">
        <f t="shared" si="128"/>
        <v>7088.9280000000008</v>
      </c>
      <c r="BR30" s="47">
        <f t="shared" si="128"/>
        <v>7707.072000000001</v>
      </c>
      <c r="BS30" s="47">
        <f t="shared" ref="BS30:CI30" si="131">$C$30*12*BS39</f>
        <v>10016.892</v>
      </c>
      <c r="BT30" s="47">
        <f t="shared" si="131"/>
        <v>9089.6759999999995</v>
      </c>
      <c r="BU30" s="47">
        <f t="shared" si="131"/>
        <v>8284.116</v>
      </c>
      <c r="BV30" s="47">
        <f t="shared" si="131"/>
        <v>8640.8640000000014</v>
      </c>
      <c r="BW30" s="47">
        <f t="shared" si="131"/>
        <v>8338.3680000000004</v>
      </c>
      <c r="BX30" s="47">
        <f t="shared" si="131"/>
        <v>8326.86</v>
      </c>
      <c r="BY30" s="47">
        <f t="shared" si="131"/>
        <v>8185.4760000000006</v>
      </c>
      <c r="BZ30" s="47">
        <f t="shared" si="131"/>
        <v>8483.0400000000009</v>
      </c>
      <c r="CA30" s="47">
        <f t="shared" si="131"/>
        <v>8657.3040000000019</v>
      </c>
      <c r="CB30" s="47">
        <f t="shared" si="131"/>
        <v>8522.496000000001</v>
      </c>
      <c r="CC30" s="47">
        <f t="shared" si="131"/>
        <v>9023.9160000000011</v>
      </c>
      <c r="CD30" s="47">
        <f t="shared" si="131"/>
        <v>7611.72</v>
      </c>
      <c r="CE30" s="47">
        <f t="shared" si="131"/>
        <v>6411.6</v>
      </c>
      <c r="CF30" s="47">
        <f t="shared" si="131"/>
        <v>7324.02</v>
      </c>
      <c r="CG30" s="47">
        <f t="shared" si="131"/>
        <v>8611.271999999999</v>
      </c>
      <c r="CH30" s="47">
        <f t="shared" si="131"/>
        <v>9290.2440000000006</v>
      </c>
      <c r="CI30" s="47">
        <f t="shared" si="131"/>
        <v>7080.7080000000005</v>
      </c>
      <c r="CJ30" s="84" t="s">
        <v>118</v>
      </c>
      <c r="CK30" s="89" t="s">
        <v>142</v>
      </c>
      <c r="CL30" s="53">
        <v>1.34</v>
      </c>
      <c r="CM30" s="47">
        <f>$CL$30*12*CM39</f>
        <v>7877.5920000000006</v>
      </c>
      <c r="CN30" s="47">
        <f t="shared" ref="CN30:CQ30" si="132">$CL$30*12*CN39</f>
        <v>7330.8720000000003</v>
      </c>
      <c r="CO30" s="47">
        <f t="shared" si="132"/>
        <v>7393.5840000000007</v>
      </c>
      <c r="CP30" s="47">
        <f t="shared" si="132"/>
        <v>8316.5760000000009</v>
      </c>
      <c r="CQ30" s="47">
        <f t="shared" si="132"/>
        <v>8298.8880000000008</v>
      </c>
      <c r="CR30" s="84" t="s">
        <v>162</v>
      </c>
      <c r="CS30" s="89" t="s">
        <v>163</v>
      </c>
      <c r="CT30" s="53">
        <v>1.48</v>
      </c>
      <c r="CU30" s="47">
        <f>$CT$30*12*CU39</f>
        <v>8070.1439999999984</v>
      </c>
      <c r="CV30" s="47">
        <f t="shared" ref="CV30:CZ30" si="133">$CT$30*12*CV39</f>
        <v>8208.6719999999987</v>
      </c>
      <c r="CW30" s="47">
        <f t="shared" si="133"/>
        <v>8272.6080000000002</v>
      </c>
      <c r="CX30" s="47">
        <f t="shared" si="133"/>
        <v>8398.7039999999979</v>
      </c>
      <c r="CY30" s="47">
        <f t="shared" si="133"/>
        <v>8126.9759999999997</v>
      </c>
      <c r="CZ30" s="47">
        <f t="shared" si="133"/>
        <v>8219.3279999999995</v>
      </c>
      <c r="DA30" s="84" t="s">
        <v>118</v>
      </c>
      <c r="DB30" s="89" t="s">
        <v>4</v>
      </c>
      <c r="DC30" s="53">
        <v>1.37</v>
      </c>
      <c r="DD30" s="47">
        <f>$DC$30*12*DD39</f>
        <v>8053.9560000000001</v>
      </c>
      <c r="DE30" s="47">
        <f t="shared" ref="DE30:DW30" si="134">$DC$30*12*DE39</f>
        <v>9115.9800000000014</v>
      </c>
      <c r="DF30" s="47">
        <f t="shared" si="134"/>
        <v>16343.004000000001</v>
      </c>
      <c r="DG30" s="47">
        <f t="shared" si="134"/>
        <v>7365.1200000000008</v>
      </c>
      <c r="DH30" s="47">
        <f t="shared" si="134"/>
        <v>9288.6</v>
      </c>
      <c r="DI30" s="47">
        <f t="shared" si="134"/>
        <v>9306.6840000000011</v>
      </c>
      <c r="DJ30" s="47">
        <f t="shared" si="134"/>
        <v>8305.4880000000012</v>
      </c>
      <c r="DK30" s="47">
        <f t="shared" si="134"/>
        <v>8371.2479999999996</v>
      </c>
      <c r="DL30" s="47">
        <f t="shared" si="134"/>
        <v>9352.7160000000003</v>
      </c>
      <c r="DM30" s="47">
        <f t="shared" si="134"/>
        <v>7889.5560000000005</v>
      </c>
      <c r="DN30" s="47">
        <f t="shared" si="134"/>
        <v>9162.0120000000006</v>
      </c>
      <c r="DO30" s="47">
        <f t="shared" si="134"/>
        <v>7417.7280000000001</v>
      </c>
      <c r="DP30" s="47">
        <f t="shared" si="134"/>
        <v>11826.936</v>
      </c>
      <c r="DQ30" s="47">
        <f t="shared" si="134"/>
        <v>7468.6920000000009</v>
      </c>
      <c r="DR30" s="47">
        <f t="shared" si="134"/>
        <v>7881.3360000000002</v>
      </c>
      <c r="DS30" s="47">
        <f t="shared" si="134"/>
        <v>7601.8559999999998</v>
      </c>
      <c r="DT30" s="47">
        <f t="shared" si="134"/>
        <v>7672.5480000000007</v>
      </c>
      <c r="DU30" s="47">
        <f t="shared" si="134"/>
        <v>6911.3760000000002</v>
      </c>
      <c r="DV30" s="47">
        <f t="shared" si="134"/>
        <v>14567.484000000002</v>
      </c>
      <c r="DW30" s="47">
        <f t="shared" si="134"/>
        <v>8775.6720000000005</v>
      </c>
      <c r="DX30" s="84" t="s">
        <v>118</v>
      </c>
      <c r="DY30" s="89" t="s">
        <v>142</v>
      </c>
      <c r="DZ30" s="53">
        <v>1.34</v>
      </c>
      <c r="EA30" s="47">
        <f>$DZ$30*12*EA39</f>
        <v>7877.5920000000006</v>
      </c>
      <c r="EB30" s="47">
        <f t="shared" ref="EB30:EC30" si="135">$DZ$30*12*EB39</f>
        <v>7491.6720000000005</v>
      </c>
      <c r="EC30" s="47">
        <f t="shared" si="135"/>
        <v>7523.8320000000003</v>
      </c>
      <c r="ED30" s="84" t="s">
        <v>162</v>
      </c>
      <c r="EE30" s="89" t="s">
        <v>163</v>
      </c>
      <c r="EF30" s="53">
        <v>1.48</v>
      </c>
      <c r="EG30" s="47">
        <f>$EF$30*12*EG39</f>
        <v>8096.7839999999987</v>
      </c>
      <c r="EH30" s="103">
        <f>$EF$30*12*EH39</f>
        <v>7384.6079999999993</v>
      </c>
      <c r="EI30" s="126" t="s">
        <v>201</v>
      </c>
      <c r="EJ30" s="129" t="s">
        <v>202</v>
      </c>
      <c r="EK30" s="114">
        <f>1.17*12*EK39</f>
        <v>52866.216</v>
      </c>
      <c r="EL30" s="117">
        <f>1.74*12*EL39</f>
        <v>82398.744000000006</v>
      </c>
      <c r="EM30" s="114">
        <f>(0.13+0.26+0.31+0.29+0.21+0.17+0.06)*12*EM39</f>
        <v>43519.476000000002</v>
      </c>
      <c r="EN30" s="117">
        <f>1.74*12*EN39</f>
        <v>48216.09599999999</v>
      </c>
      <c r="EO30" s="117">
        <f>1.74*12*EO39</f>
        <v>77988.887999999992</v>
      </c>
      <c r="EP30" s="110"/>
      <c r="EQ30" s="110"/>
      <c r="ER30" s="154"/>
    </row>
    <row r="31" spans="1:148" s="1" customFormat="1" ht="40.5" customHeight="1" x14ac:dyDescent="0.2">
      <c r="A31" s="54" t="s">
        <v>119</v>
      </c>
      <c r="B31" s="64" t="s">
        <v>24</v>
      </c>
      <c r="C31" s="53">
        <v>1.69</v>
      </c>
      <c r="D31" s="47">
        <f>$C$31*12*D39</f>
        <v>9787.1280000000006</v>
      </c>
      <c r="E31" s="47">
        <f t="shared" ref="E31:BR31" si="136">$C$31*12*E39</f>
        <v>11987.508000000002</v>
      </c>
      <c r="F31" s="47">
        <f t="shared" si="136"/>
        <v>14672.58</v>
      </c>
      <c r="G31" s="47">
        <f t="shared" si="136"/>
        <v>9355.1640000000007</v>
      </c>
      <c r="H31" s="47">
        <f t="shared" si="136"/>
        <v>8659.5600000000013</v>
      </c>
      <c r="I31" s="47">
        <f t="shared" si="136"/>
        <v>27651.780000000002</v>
      </c>
      <c r="J31" s="47">
        <f t="shared" si="136"/>
        <v>11819.183999999999</v>
      </c>
      <c r="K31" s="47">
        <f t="shared" si="136"/>
        <v>11772.54</v>
      </c>
      <c r="L31" s="47">
        <f t="shared" si="136"/>
        <v>11198.616000000002</v>
      </c>
      <c r="M31" s="47">
        <f t="shared" si="136"/>
        <v>11446.032000000001</v>
      </c>
      <c r="N31" s="47">
        <f t="shared" si="136"/>
        <v>12234.923999999999</v>
      </c>
      <c r="O31" s="47">
        <f t="shared" si="136"/>
        <v>7016.88</v>
      </c>
      <c r="P31" s="47">
        <f t="shared" si="136"/>
        <v>16406.52</v>
      </c>
      <c r="Q31" s="47">
        <f t="shared" si="136"/>
        <v>12652.692000000001</v>
      </c>
      <c r="R31" s="47">
        <f t="shared" si="136"/>
        <v>12656.748000000001</v>
      </c>
      <c r="S31" s="47">
        <f t="shared" si="136"/>
        <v>11760.371999999999</v>
      </c>
      <c r="T31" s="47">
        <f t="shared" si="136"/>
        <v>9428.1720000000005</v>
      </c>
      <c r="U31" s="47">
        <f t="shared" si="136"/>
        <v>12837.240000000002</v>
      </c>
      <c r="V31" s="47">
        <f t="shared" si="136"/>
        <v>10606.44</v>
      </c>
      <c r="W31" s="47">
        <f t="shared" si="136"/>
        <v>14769.923999999999</v>
      </c>
      <c r="X31" s="47">
        <f t="shared" si="136"/>
        <v>9989.9280000000017</v>
      </c>
      <c r="Y31" s="47">
        <f t="shared" si="136"/>
        <v>11417.640000000001</v>
      </c>
      <c r="Z31" s="47">
        <f t="shared" si="136"/>
        <v>8696.0640000000003</v>
      </c>
      <c r="AA31" s="47">
        <f t="shared" ref="AA31" si="137">$C$31*12*AA39</f>
        <v>12133.523999999999</v>
      </c>
      <c r="AB31" s="47">
        <f t="shared" si="136"/>
        <v>9276.0720000000001</v>
      </c>
      <c r="AC31" s="47">
        <f t="shared" si="136"/>
        <v>10239.371999999999</v>
      </c>
      <c r="AD31" s="47">
        <f t="shared" si="136"/>
        <v>9639.0840000000007</v>
      </c>
      <c r="AE31" s="47">
        <f t="shared" si="136"/>
        <v>9338.94</v>
      </c>
      <c r="AF31" s="47">
        <f t="shared" si="136"/>
        <v>11431.836000000001</v>
      </c>
      <c r="AG31" s="47">
        <f t="shared" si="136"/>
        <v>14782.092000000001</v>
      </c>
      <c r="AH31" s="47">
        <f t="shared" si="136"/>
        <v>9383.5560000000005</v>
      </c>
      <c r="AI31" s="47">
        <f t="shared" ref="AI31" si="138">$C$31*12*AI39</f>
        <v>9245.652</v>
      </c>
      <c r="AJ31" s="47">
        <f t="shared" si="136"/>
        <v>10474.620000000001</v>
      </c>
      <c r="AK31" s="47">
        <f t="shared" si="136"/>
        <v>10482.732</v>
      </c>
      <c r="AL31" s="47">
        <f t="shared" si="136"/>
        <v>10415.808000000001</v>
      </c>
      <c r="AM31" s="47">
        <f t="shared" si="136"/>
        <v>9582.3000000000011</v>
      </c>
      <c r="AN31" s="47">
        <f t="shared" si="136"/>
        <v>9671.5319999999992</v>
      </c>
      <c r="AO31" s="47">
        <f t="shared" si="136"/>
        <v>9787.1280000000006</v>
      </c>
      <c r="AP31" s="47">
        <f t="shared" si="136"/>
        <v>9608.6640000000007</v>
      </c>
      <c r="AQ31" s="47">
        <f t="shared" si="136"/>
        <v>10515.18</v>
      </c>
      <c r="AR31" s="47">
        <f t="shared" si="136"/>
        <v>11431.836000000001</v>
      </c>
      <c r="AS31" s="47">
        <f t="shared" si="136"/>
        <v>9768.8760000000002</v>
      </c>
      <c r="AT31" s="47">
        <f t="shared" si="136"/>
        <v>17779.476000000002</v>
      </c>
      <c r="AU31" s="47">
        <f t="shared" si="136"/>
        <v>9633</v>
      </c>
      <c r="AV31" s="47">
        <f t="shared" si="136"/>
        <v>9245.652</v>
      </c>
      <c r="AW31" s="47">
        <f t="shared" si="136"/>
        <v>9845.94</v>
      </c>
      <c r="AX31" s="47">
        <f t="shared" si="136"/>
        <v>11679.252</v>
      </c>
      <c r="AY31" s="47">
        <f t="shared" si="136"/>
        <v>8698.0920000000006</v>
      </c>
      <c r="AZ31" s="47">
        <f t="shared" si="136"/>
        <v>14757.756000000001</v>
      </c>
      <c r="BA31" s="47">
        <f t="shared" si="136"/>
        <v>8507.4600000000009</v>
      </c>
      <c r="BB31" s="47">
        <f t="shared" si="136"/>
        <v>12074.712</v>
      </c>
      <c r="BC31" s="47">
        <f t="shared" si="136"/>
        <v>15005.172</v>
      </c>
      <c r="BD31" s="47">
        <f t="shared" si="136"/>
        <v>19760.832000000002</v>
      </c>
      <c r="BE31" s="47">
        <f t="shared" si="136"/>
        <v>11525.124</v>
      </c>
      <c r="BF31" s="47">
        <f t="shared" si="136"/>
        <v>13463.892</v>
      </c>
      <c r="BG31" s="47">
        <f t="shared" si="136"/>
        <v>10776.791999999999</v>
      </c>
      <c r="BH31" s="47">
        <f t="shared" si="136"/>
        <v>16305.12</v>
      </c>
      <c r="BI31" s="47">
        <f t="shared" si="136"/>
        <v>8552.0760000000009</v>
      </c>
      <c r="BJ31" s="47">
        <f t="shared" si="136"/>
        <v>7024.9920000000002</v>
      </c>
      <c r="BK31" s="47">
        <f t="shared" si="136"/>
        <v>9600.5519999999997</v>
      </c>
      <c r="BL31" s="47">
        <f t="shared" si="136"/>
        <v>9886.5</v>
      </c>
      <c r="BM31" s="47">
        <f t="shared" si="136"/>
        <v>11026.236000000001</v>
      </c>
      <c r="BN31" s="47">
        <f t="shared" si="136"/>
        <v>10482.732</v>
      </c>
      <c r="BO31" s="47">
        <f t="shared" si="136"/>
        <v>11902.332</v>
      </c>
      <c r="BP31" s="47">
        <f t="shared" si="136"/>
        <v>8868.4440000000013</v>
      </c>
      <c r="BQ31" s="47">
        <f t="shared" si="136"/>
        <v>8744.7360000000008</v>
      </c>
      <c r="BR31" s="47">
        <f t="shared" si="136"/>
        <v>9507.264000000001</v>
      </c>
      <c r="BS31" s="47">
        <f t="shared" ref="BS31:CI31" si="139">$C$31*12*BS39</f>
        <v>12356.603999999999</v>
      </c>
      <c r="BT31" s="47">
        <f t="shared" si="139"/>
        <v>11212.812</v>
      </c>
      <c r="BU31" s="47">
        <f t="shared" si="139"/>
        <v>10219.092000000001</v>
      </c>
      <c r="BV31" s="47">
        <f t="shared" si="139"/>
        <v>10659.168000000001</v>
      </c>
      <c r="BW31" s="47">
        <f t="shared" si="139"/>
        <v>10286.016</v>
      </c>
      <c r="BX31" s="47">
        <f t="shared" si="139"/>
        <v>10271.82</v>
      </c>
      <c r="BY31" s="47">
        <f t="shared" si="139"/>
        <v>10097.412</v>
      </c>
      <c r="BZ31" s="47">
        <f t="shared" si="139"/>
        <v>10464.480000000001</v>
      </c>
      <c r="CA31" s="47">
        <f t="shared" si="139"/>
        <v>10679.448</v>
      </c>
      <c r="CB31" s="47">
        <f t="shared" si="139"/>
        <v>10513.152</v>
      </c>
      <c r="CC31" s="47">
        <f t="shared" si="139"/>
        <v>11131.692000000001</v>
      </c>
      <c r="CD31" s="47">
        <f t="shared" si="139"/>
        <v>9389.6400000000012</v>
      </c>
      <c r="CE31" s="47">
        <f t="shared" si="139"/>
        <v>7909.2000000000007</v>
      </c>
      <c r="CF31" s="47">
        <f t="shared" si="139"/>
        <v>9034.74</v>
      </c>
      <c r="CG31" s="47">
        <f t="shared" si="139"/>
        <v>10622.663999999999</v>
      </c>
      <c r="CH31" s="47">
        <f t="shared" si="139"/>
        <v>11460.228000000001</v>
      </c>
      <c r="CI31" s="47">
        <f t="shared" si="139"/>
        <v>8734.5959999999995</v>
      </c>
      <c r="CJ31" s="84" t="s">
        <v>119</v>
      </c>
      <c r="CK31" s="90" t="s">
        <v>24</v>
      </c>
      <c r="CL31" s="53">
        <v>1.23</v>
      </c>
      <c r="CM31" s="47">
        <f>$CL$31*12*CM39</f>
        <v>7230.924</v>
      </c>
      <c r="CN31" s="47">
        <f t="shared" ref="CN31:CQ31" si="140">$CL$31*12*CN39</f>
        <v>6729.0839999999998</v>
      </c>
      <c r="CO31" s="47">
        <f t="shared" si="140"/>
        <v>6786.6480000000001</v>
      </c>
      <c r="CP31" s="47">
        <f t="shared" si="140"/>
        <v>7633.8720000000003</v>
      </c>
      <c r="CQ31" s="47">
        <f t="shared" si="140"/>
        <v>7617.6360000000004</v>
      </c>
      <c r="CR31" s="84" t="s">
        <v>164</v>
      </c>
      <c r="CS31" s="90" t="s">
        <v>24</v>
      </c>
      <c r="CT31" s="53">
        <v>1.8</v>
      </c>
      <c r="CU31" s="47">
        <f>$CT$31*12*CU39</f>
        <v>9815.0400000000009</v>
      </c>
      <c r="CV31" s="47">
        <f t="shared" ref="CV31:CZ31" si="141">$CT$31*12*CV39</f>
        <v>9983.52</v>
      </c>
      <c r="CW31" s="47">
        <f t="shared" si="141"/>
        <v>10061.280000000001</v>
      </c>
      <c r="CX31" s="47">
        <f t="shared" si="141"/>
        <v>10214.64</v>
      </c>
      <c r="CY31" s="47">
        <f t="shared" si="141"/>
        <v>9884.1600000000017</v>
      </c>
      <c r="CZ31" s="47">
        <f t="shared" si="141"/>
        <v>9996.4800000000014</v>
      </c>
      <c r="DA31" s="84" t="s">
        <v>119</v>
      </c>
      <c r="DB31" s="90" t="s">
        <v>24</v>
      </c>
      <c r="DC31" s="53">
        <v>0</v>
      </c>
      <c r="DD31" s="47">
        <f>$DC$31*12*DD39</f>
        <v>0</v>
      </c>
      <c r="DE31" s="47">
        <f t="shared" ref="DE31:DW31" si="142">$DC$31*12*DE39</f>
        <v>0</v>
      </c>
      <c r="DF31" s="47">
        <f t="shared" si="142"/>
        <v>0</v>
      </c>
      <c r="DG31" s="47">
        <f t="shared" si="142"/>
        <v>0</v>
      </c>
      <c r="DH31" s="47">
        <f t="shared" si="142"/>
        <v>0</v>
      </c>
      <c r="DI31" s="47">
        <f t="shared" si="142"/>
        <v>0</v>
      </c>
      <c r="DJ31" s="47">
        <f t="shared" si="142"/>
        <v>0</v>
      </c>
      <c r="DK31" s="47">
        <f t="shared" si="142"/>
        <v>0</v>
      </c>
      <c r="DL31" s="47">
        <f t="shared" si="142"/>
        <v>0</v>
      </c>
      <c r="DM31" s="47">
        <f t="shared" si="142"/>
        <v>0</v>
      </c>
      <c r="DN31" s="47">
        <f t="shared" si="142"/>
        <v>0</v>
      </c>
      <c r="DO31" s="47">
        <f t="shared" si="142"/>
        <v>0</v>
      </c>
      <c r="DP31" s="47">
        <f t="shared" si="142"/>
        <v>0</v>
      </c>
      <c r="DQ31" s="47">
        <f t="shared" si="142"/>
        <v>0</v>
      </c>
      <c r="DR31" s="47">
        <f t="shared" si="142"/>
        <v>0</v>
      </c>
      <c r="DS31" s="47">
        <f t="shared" si="142"/>
        <v>0</v>
      </c>
      <c r="DT31" s="47">
        <f t="shared" si="142"/>
        <v>0</v>
      </c>
      <c r="DU31" s="47">
        <f t="shared" si="142"/>
        <v>0</v>
      </c>
      <c r="DV31" s="47">
        <f t="shared" si="142"/>
        <v>0</v>
      </c>
      <c r="DW31" s="47">
        <f t="shared" si="142"/>
        <v>0</v>
      </c>
      <c r="DX31" s="84" t="s">
        <v>119</v>
      </c>
      <c r="DY31" s="90" t="s">
        <v>24</v>
      </c>
      <c r="DZ31" s="53">
        <v>0</v>
      </c>
      <c r="EA31" s="47">
        <f>$DZ$31*12*EA39</f>
        <v>0</v>
      </c>
      <c r="EB31" s="47">
        <f t="shared" ref="EB31:EC31" si="143">$DZ$31*12*EB39</f>
        <v>0</v>
      </c>
      <c r="EC31" s="47">
        <f t="shared" si="143"/>
        <v>0</v>
      </c>
      <c r="ED31" s="84" t="s">
        <v>164</v>
      </c>
      <c r="EE31" s="90" t="s">
        <v>24</v>
      </c>
      <c r="EF31" s="53">
        <v>0</v>
      </c>
      <c r="EG31" s="47">
        <f>$EF$31*12*EG39</f>
        <v>0</v>
      </c>
      <c r="EH31" s="103">
        <f>$EF$31*12*EH39</f>
        <v>0</v>
      </c>
      <c r="EI31" s="126" t="s">
        <v>203</v>
      </c>
      <c r="EJ31" s="129" t="s">
        <v>4</v>
      </c>
      <c r="EK31" s="114">
        <f>1.55*12*EK39</f>
        <v>70036.44</v>
      </c>
      <c r="EL31" s="117">
        <f>1.25*12*EL39</f>
        <v>59194.5</v>
      </c>
      <c r="EM31" s="114">
        <f>(0.99+0.09+0.13)*12*EM39</f>
        <v>36824.171999999999</v>
      </c>
      <c r="EN31" s="117">
        <f>1.25*12*EN39</f>
        <v>34638</v>
      </c>
      <c r="EO31" s="117">
        <f>1.25*12*EO39</f>
        <v>56026.5</v>
      </c>
      <c r="EP31" s="110"/>
      <c r="EQ31" s="110"/>
      <c r="ER31" s="154"/>
    </row>
    <row r="32" spans="1:148" s="1" customFormat="1" ht="33" customHeight="1" x14ac:dyDescent="0.2">
      <c r="A32" s="54" t="s">
        <v>120</v>
      </c>
      <c r="B32" s="64" t="s">
        <v>3</v>
      </c>
      <c r="C32" s="53">
        <v>0.94</v>
      </c>
      <c r="D32" s="47">
        <f>$C$32*12*D39</f>
        <v>5443.7280000000001</v>
      </c>
      <c r="E32" s="47">
        <f t="shared" ref="E32:BR32" si="144">$C$32*12*E39</f>
        <v>6667.6080000000002</v>
      </c>
      <c r="F32" s="47">
        <f t="shared" si="144"/>
        <v>8161.08</v>
      </c>
      <c r="G32" s="47">
        <f t="shared" si="144"/>
        <v>5203.4639999999999</v>
      </c>
      <c r="H32" s="47">
        <f t="shared" si="144"/>
        <v>4816.5599999999995</v>
      </c>
      <c r="I32" s="47">
        <f t="shared" si="144"/>
        <v>15380.279999999999</v>
      </c>
      <c r="J32" s="47">
        <f t="shared" si="144"/>
        <v>6573.9839999999995</v>
      </c>
      <c r="K32" s="47">
        <f t="shared" si="144"/>
        <v>6548.04</v>
      </c>
      <c r="L32" s="47">
        <f t="shared" si="144"/>
        <v>6228.8159999999998</v>
      </c>
      <c r="M32" s="47">
        <f t="shared" si="144"/>
        <v>6366.4319999999998</v>
      </c>
      <c r="N32" s="47">
        <f t="shared" si="144"/>
        <v>6805.2239999999993</v>
      </c>
      <c r="O32" s="47">
        <f t="shared" si="144"/>
        <v>3902.8799999999997</v>
      </c>
      <c r="P32" s="47">
        <f t="shared" si="144"/>
        <v>9125.5199999999986</v>
      </c>
      <c r="Q32" s="47">
        <f t="shared" si="144"/>
        <v>7037.5919999999996</v>
      </c>
      <c r="R32" s="47">
        <f t="shared" si="144"/>
        <v>7039.848</v>
      </c>
      <c r="S32" s="47">
        <f t="shared" si="144"/>
        <v>6541.271999999999</v>
      </c>
      <c r="T32" s="47">
        <f t="shared" si="144"/>
        <v>5244.0719999999992</v>
      </c>
      <c r="U32" s="47">
        <f t="shared" si="144"/>
        <v>7140.24</v>
      </c>
      <c r="V32" s="47">
        <f t="shared" si="144"/>
        <v>5899.44</v>
      </c>
      <c r="W32" s="47">
        <f t="shared" si="144"/>
        <v>8215.2239999999983</v>
      </c>
      <c r="X32" s="47">
        <f t="shared" si="144"/>
        <v>5556.5280000000002</v>
      </c>
      <c r="Y32" s="47">
        <f t="shared" si="144"/>
        <v>6350.6399999999994</v>
      </c>
      <c r="Z32" s="47">
        <f t="shared" si="144"/>
        <v>4836.8639999999996</v>
      </c>
      <c r="AA32" s="47">
        <f t="shared" ref="AA32" si="145">$C$32*12*AA39</f>
        <v>6748.8239999999987</v>
      </c>
      <c r="AB32" s="47">
        <f t="shared" si="144"/>
        <v>5159.4719999999998</v>
      </c>
      <c r="AC32" s="47">
        <f t="shared" si="144"/>
        <v>5695.271999999999</v>
      </c>
      <c r="AD32" s="47">
        <f t="shared" si="144"/>
        <v>5361.384</v>
      </c>
      <c r="AE32" s="47">
        <f t="shared" si="144"/>
        <v>5194.4399999999996</v>
      </c>
      <c r="AF32" s="47">
        <f t="shared" si="144"/>
        <v>6358.5360000000001</v>
      </c>
      <c r="AG32" s="47">
        <f t="shared" si="144"/>
        <v>8221.9919999999984</v>
      </c>
      <c r="AH32" s="47">
        <f t="shared" si="144"/>
        <v>5219.2559999999994</v>
      </c>
      <c r="AI32" s="47">
        <f t="shared" ref="AI32" si="146">$C$32*12*AI39</f>
        <v>5142.5519999999997</v>
      </c>
      <c r="AJ32" s="47">
        <f t="shared" si="144"/>
        <v>5826.12</v>
      </c>
      <c r="AK32" s="47">
        <f t="shared" si="144"/>
        <v>5830.6319999999996</v>
      </c>
      <c r="AL32" s="47">
        <f t="shared" si="144"/>
        <v>5793.4080000000004</v>
      </c>
      <c r="AM32" s="47">
        <f t="shared" si="144"/>
        <v>5329.7999999999993</v>
      </c>
      <c r="AN32" s="47">
        <f t="shared" si="144"/>
        <v>5379.4319999999998</v>
      </c>
      <c r="AO32" s="47">
        <f t="shared" si="144"/>
        <v>5443.7280000000001</v>
      </c>
      <c r="AP32" s="47">
        <f t="shared" si="144"/>
        <v>5344.4639999999999</v>
      </c>
      <c r="AQ32" s="47">
        <f t="shared" si="144"/>
        <v>5848.6799999999994</v>
      </c>
      <c r="AR32" s="47">
        <f t="shared" si="144"/>
        <v>6358.5360000000001</v>
      </c>
      <c r="AS32" s="47">
        <f t="shared" si="144"/>
        <v>5433.5759999999991</v>
      </c>
      <c r="AT32" s="47">
        <f t="shared" si="144"/>
        <v>9889.1759999999995</v>
      </c>
      <c r="AU32" s="47">
        <f t="shared" si="144"/>
        <v>5358</v>
      </c>
      <c r="AV32" s="47">
        <f t="shared" si="144"/>
        <v>5142.5519999999997</v>
      </c>
      <c r="AW32" s="47">
        <f t="shared" si="144"/>
        <v>5476.44</v>
      </c>
      <c r="AX32" s="47">
        <f t="shared" si="144"/>
        <v>6496.1519999999991</v>
      </c>
      <c r="AY32" s="47">
        <f t="shared" si="144"/>
        <v>4837.9919999999993</v>
      </c>
      <c r="AZ32" s="47">
        <f t="shared" si="144"/>
        <v>8208.4560000000001</v>
      </c>
      <c r="BA32" s="47">
        <f t="shared" si="144"/>
        <v>4731.96</v>
      </c>
      <c r="BB32" s="47">
        <f t="shared" si="144"/>
        <v>6716.1119999999992</v>
      </c>
      <c r="BC32" s="47">
        <f t="shared" si="144"/>
        <v>8346.0720000000001</v>
      </c>
      <c r="BD32" s="47">
        <f t="shared" si="144"/>
        <v>10991.232</v>
      </c>
      <c r="BE32" s="47">
        <f t="shared" si="144"/>
        <v>6410.4239999999991</v>
      </c>
      <c r="BF32" s="47">
        <f t="shared" si="144"/>
        <v>7488.7919999999995</v>
      </c>
      <c r="BG32" s="47">
        <f t="shared" si="144"/>
        <v>5994.1919999999991</v>
      </c>
      <c r="BH32" s="47">
        <f t="shared" si="144"/>
        <v>9069.119999999999</v>
      </c>
      <c r="BI32" s="47">
        <f t="shared" si="144"/>
        <v>4756.7759999999998</v>
      </c>
      <c r="BJ32" s="47">
        <f t="shared" si="144"/>
        <v>3907.3919999999994</v>
      </c>
      <c r="BK32" s="47">
        <f t="shared" si="144"/>
        <v>5339.9519999999993</v>
      </c>
      <c r="BL32" s="47">
        <f t="shared" si="144"/>
        <v>5499</v>
      </c>
      <c r="BM32" s="47">
        <f t="shared" si="144"/>
        <v>6132.9360000000006</v>
      </c>
      <c r="BN32" s="47">
        <f t="shared" si="144"/>
        <v>5830.6319999999996</v>
      </c>
      <c r="BO32" s="47">
        <f t="shared" si="144"/>
        <v>6620.2319999999991</v>
      </c>
      <c r="BP32" s="47">
        <f t="shared" si="144"/>
        <v>4932.7439999999997</v>
      </c>
      <c r="BQ32" s="47">
        <f t="shared" si="144"/>
        <v>4863.9359999999997</v>
      </c>
      <c r="BR32" s="47">
        <f t="shared" si="144"/>
        <v>5288.0639999999994</v>
      </c>
      <c r="BS32" s="47">
        <f t="shared" ref="BS32:CI32" si="147">$C$32*12*BS39</f>
        <v>6872.9039999999995</v>
      </c>
      <c r="BT32" s="47">
        <f t="shared" si="147"/>
        <v>6236.7119999999995</v>
      </c>
      <c r="BU32" s="47">
        <f t="shared" si="147"/>
        <v>5683.9919999999993</v>
      </c>
      <c r="BV32" s="47">
        <f t="shared" si="147"/>
        <v>5928.768</v>
      </c>
      <c r="BW32" s="47">
        <f t="shared" si="147"/>
        <v>5721.2159999999994</v>
      </c>
      <c r="BX32" s="47">
        <f t="shared" si="147"/>
        <v>5713.32</v>
      </c>
      <c r="BY32" s="47">
        <f t="shared" si="147"/>
        <v>5616.311999999999</v>
      </c>
      <c r="BZ32" s="47">
        <f t="shared" si="147"/>
        <v>5820.48</v>
      </c>
      <c r="CA32" s="47">
        <f t="shared" si="147"/>
        <v>5940.0479999999998</v>
      </c>
      <c r="CB32" s="47">
        <f t="shared" si="147"/>
        <v>5847.5519999999997</v>
      </c>
      <c r="CC32" s="47">
        <f t="shared" si="147"/>
        <v>6191.5919999999996</v>
      </c>
      <c r="CD32" s="47">
        <f t="shared" si="147"/>
        <v>5222.6399999999994</v>
      </c>
      <c r="CE32" s="47">
        <f t="shared" si="147"/>
        <v>4399.2</v>
      </c>
      <c r="CF32" s="47">
        <f t="shared" si="147"/>
        <v>5025.24</v>
      </c>
      <c r="CG32" s="47">
        <f t="shared" si="147"/>
        <v>5908.463999999999</v>
      </c>
      <c r="CH32" s="47">
        <f t="shared" si="147"/>
        <v>6374.3279999999995</v>
      </c>
      <c r="CI32" s="47">
        <f t="shared" si="147"/>
        <v>4858.2959999999994</v>
      </c>
      <c r="CJ32" s="84" t="s">
        <v>120</v>
      </c>
      <c r="CK32" s="53" t="s">
        <v>3</v>
      </c>
      <c r="CL32" s="53">
        <v>1.02</v>
      </c>
      <c r="CM32" s="47">
        <f>$CL$32*12*CM39</f>
        <v>5996.3760000000002</v>
      </c>
      <c r="CN32" s="47">
        <f t="shared" ref="CN32:CQ32" si="148">$CL$32*12*CN39</f>
        <v>5580.2159999999994</v>
      </c>
      <c r="CO32" s="47">
        <f t="shared" si="148"/>
        <v>5627.9520000000002</v>
      </c>
      <c r="CP32" s="47">
        <f t="shared" si="148"/>
        <v>6330.5280000000002</v>
      </c>
      <c r="CQ32" s="47">
        <f t="shared" si="148"/>
        <v>6317.0640000000003</v>
      </c>
      <c r="CR32" s="84" t="s">
        <v>165</v>
      </c>
      <c r="CS32" s="53" t="s">
        <v>3</v>
      </c>
      <c r="CT32" s="53">
        <v>0.99</v>
      </c>
      <c r="CU32" s="47">
        <f>$CT$32*12*CU39</f>
        <v>5398.271999999999</v>
      </c>
      <c r="CV32" s="47">
        <f t="shared" ref="CV32:CZ32" si="149">$CT$32*12*CV39</f>
        <v>5490.9359999999997</v>
      </c>
      <c r="CW32" s="47">
        <f t="shared" si="149"/>
        <v>5533.7039999999997</v>
      </c>
      <c r="CX32" s="47">
        <f t="shared" si="149"/>
        <v>5618.0519999999997</v>
      </c>
      <c r="CY32" s="47">
        <f t="shared" si="149"/>
        <v>5436.2879999999996</v>
      </c>
      <c r="CZ32" s="47">
        <f t="shared" si="149"/>
        <v>5498.0639999999994</v>
      </c>
      <c r="DA32" s="84" t="s">
        <v>120</v>
      </c>
      <c r="DB32" s="53" t="s">
        <v>3</v>
      </c>
      <c r="DC32" s="53">
        <v>0.94</v>
      </c>
      <c r="DD32" s="47">
        <f>$DC$32*12*DD39</f>
        <v>5526.0719999999992</v>
      </c>
      <c r="DE32" s="47">
        <f t="shared" ref="DE32:DW32" si="150">$DC$32*12*DE39</f>
        <v>6254.7599999999993</v>
      </c>
      <c r="DF32" s="47">
        <f t="shared" si="150"/>
        <v>11213.448</v>
      </c>
      <c r="DG32" s="47">
        <f t="shared" si="150"/>
        <v>5053.4399999999996</v>
      </c>
      <c r="DH32" s="47">
        <f t="shared" si="150"/>
        <v>6373.2</v>
      </c>
      <c r="DI32" s="47">
        <f t="shared" si="150"/>
        <v>6385.6080000000002</v>
      </c>
      <c r="DJ32" s="47">
        <f t="shared" si="150"/>
        <v>5698.6559999999999</v>
      </c>
      <c r="DK32" s="47">
        <f t="shared" si="150"/>
        <v>5743.7759999999998</v>
      </c>
      <c r="DL32" s="47">
        <f t="shared" si="150"/>
        <v>6417.1919999999991</v>
      </c>
      <c r="DM32" s="47">
        <f t="shared" si="150"/>
        <v>5413.271999999999</v>
      </c>
      <c r="DN32" s="47">
        <f t="shared" si="150"/>
        <v>6286.3439999999991</v>
      </c>
      <c r="DO32" s="47">
        <f t="shared" si="150"/>
        <v>5089.5359999999991</v>
      </c>
      <c r="DP32" s="47">
        <f t="shared" si="150"/>
        <v>8114.8319999999994</v>
      </c>
      <c r="DQ32" s="47">
        <f t="shared" si="150"/>
        <v>5124.5039999999999</v>
      </c>
      <c r="DR32" s="47">
        <f t="shared" si="150"/>
        <v>5407.6319999999996</v>
      </c>
      <c r="DS32" s="47">
        <f t="shared" si="150"/>
        <v>5215.8719999999994</v>
      </c>
      <c r="DT32" s="47">
        <f t="shared" si="150"/>
        <v>5264.3759999999993</v>
      </c>
      <c r="DU32" s="47">
        <f t="shared" si="150"/>
        <v>4742.1119999999992</v>
      </c>
      <c r="DV32" s="47">
        <f t="shared" si="150"/>
        <v>9995.2080000000005</v>
      </c>
      <c r="DW32" s="47">
        <f t="shared" si="150"/>
        <v>6021.2639999999992</v>
      </c>
      <c r="DX32" s="84" t="s">
        <v>120</v>
      </c>
      <c r="DY32" s="53" t="s">
        <v>3</v>
      </c>
      <c r="DZ32" s="53">
        <v>1.02</v>
      </c>
      <c r="EA32" s="47">
        <f>$DZ$32*12*EA39</f>
        <v>5996.3760000000002</v>
      </c>
      <c r="EB32" s="47">
        <f t="shared" ref="EB32:EC32" si="151">$DZ$32*12*EB39</f>
        <v>5702.616</v>
      </c>
      <c r="EC32" s="47">
        <f t="shared" si="151"/>
        <v>5727.0959999999995</v>
      </c>
      <c r="ED32" s="84" t="s">
        <v>165</v>
      </c>
      <c r="EE32" s="53" t="s">
        <v>3</v>
      </c>
      <c r="EF32" s="53">
        <v>0.99</v>
      </c>
      <c r="EG32" s="47">
        <f>$EF$32*12*EG39</f>
        <v>5416.0919999999996</v>
      </c>
      <c r="EH32" s="103">
        <f>$EF$32*12*EH39</f>
        <v>4939.7039999999997</v>
      </c>
      <c r="EI32" s="126" t="s">
        <v>204</v>
      </c>
      <c r="EJ32" s="127" t="s">
        <v>3</v>
      </c>
      <c r="EK32" s="114">
        <f>0.57*12*EK39</f>
        <v>25755.335999999999</v>
      </c>
      <c r="EL32" s="117">
        <f>0.56*12*EL39</f>
        <v>26519.136000000002</v>
      </c>
      <c r="EM32" s="114">
        <f>(0.16+0.42)*12*EM39</f>
        <v>17651.255999999998</v>
      </c>
      <c r="EN32" s="117">
        <f>0.56*12*EN39</f>
        <v>15517.824000000001</v>
      </c>
      <c r="EO32" s="117">
        <f>0.56*12*EO39</f>
        <v>25099.872000000003</v>
      </c>
      <c r="EP32" s="110"/>
      <c r="EQ32" s="110"/>
      <c r="ER32" s="154"/>
    </row>
    <row r="33" spans="1:149" s="1" customFormat="1" x14ac:dyDescent="0.2">
      <c r="A33" s="54" t="s">
        <v>121</v>
      </c>
      <c r="B33" s="64" t="s">
        <v>6</v>
      </c>
      <c r="C33" s="53">
        <v>0.33</v>
      </c>
      <c r="D33" s="47">
        <f>$C$33*12*D39</f>
        <v>1911.096</v>
      </c>
      <c r="E33" s="47">
        <f t="shared" ref="E33:BR33" si="152">$C$33*12*E39</f>
        <v>2340.7559999999999</v>
      </c>
      <c r="F33" s="47">
        <f t="shared" si="152"/>
        <v>2865.06</v>
      </c>
      <c r="G33" s="47">
        <f t="shared" si="152"/>
        <v>1826.748</v>
      </c>
      <c r="H33" s="47">
        <f t="shared" si="152"/>
        <v>1690.92</v>
      </c>
      <c r="I33" s="47">
        <f t="shared" si="152"/>
        <v>5399.46</v>
      </c>
      <c r="J33" s="47">
        <f t="shared" si="152"/>
        <v>2307.8879999999999</v>
      </c>
      <c r="K33" s="47">
        <f t="shared" si="152"/>
        <v>2298.7800000000002</v>
      </c>
      <c r="L33" s="47">
        <f t="shared" si="152"/>
        <v>2186.712</v>
      </c>
      <c r="M33" s="47">
        <f t="shared" si="152"/>
        <v>2235.0239999999999</v>
      </c>
      <c r="N33" s="47">
        <f t="shared" si="152"/>
        <v>2389.0679999999998</v>
      </c>
      <c r="O33" s="47">
        <f t="shared" si="152"/>
        <v>1370.16</v>
      </c>
      <c r="P33" s="47">
        <f t="shared" si="152"/>
        <v>3203.64</v>
      </c>
      <c r="Q33" s="47">
        <f t="shared" si="152"/>
        <v>2470.6439999999998</v>
      </c>
      <c r="R33" s="47">
        <f t="shared" si="152"/>
        <v>2471.4360000000001</v>
      </c>
      <c r="S33" s="47">
        <f t="shared" si="152"/>
        <v>2296.404</v>
      </c>
      <c r="T33" s="47">
        <f t="shared" si="152"/>
        <v>1841.0039999999999</v>
      </c>
      <c r="U33" s="47">
        <f t="shared" si="152"/>
        <v>2506.6799999999998</v>
      </c>
      <c r="V33" s="47">
        <f t="shared" si="152"/>
        <v>2071.08</v>
      </c>
      <c r="W33" s="47">
        <f t="shared" si="152"/>
        <v>2884.0679999999998</v>
      </c>
      <c r="X33" s="47">
        <f t="shared" si="152"/>
        <v>1950.6960000000001</v>
      </c>
      <c r="Y33" s="47">
        <f t="shared" si="152"/>
        <v>2229.48</v>
      </c>
      <c r="Z33" s="47">
        <f t="shared" si="152"/>
        <v>1698.048</v>
      </c>
      <c r="AA33" s="47">
        <f t="shared" ref="AA33" si="153">$C$33*12*AA39</f>
        <v>2369.2679999999996</v>
      </c>
      <c r="AB33" s="47">
        <f t="shared" si="152"/>
        <v>1811.3039999999999</v>
      </c>
      <c r="AC33" s="47">
        <f t="shared" si="152"/>
        <v>1999.404</v>
      </c>
      <c r="AD33" s="47">
        <f t="shared" si="152"/>
        <v>1882.1880000000001</v>
      </c>
      <c r="AE33" s="47">
        <f t="shared" si="152"/>
        <v>1823.58</v>
      </c>
      <c r="AF33" s="47">
        <f t="shared" si="152"/>
        <v>2232.252</v>
      </c>
      <c r="AG33" s="47">
        <f t="shared" si="152"/>
        <v>2886.444</v>
      </c>
      <c r="AH33" s="47">
        <f t="shared" si="152"/>
        <v>1832.2919999999999</v>
      </c>
      <c r="AI33" s="47">
        <f t="shared" ref="AI33" si="154">$C$33*12*AI39</f>
        <v>1805.3639999999998</v>
      </c>
      <c r="AJ33" s="47">
        <f t="shared" si="152"/>
        <v>2045.34</v>
      </c>
      <c r="AK33" s="47">
        <f t="shared" si="152"/>
        <v>2046.924</v>
      </c>
      <c r="AL33" s="47">
        <f t="shared" si="152"/>
        <v>2033.856</v>
      </c>
      <c r="AM33" s="47">
        <f t="shared" si="152"/>
        <v>1871.1</v>
      </c>
      <c r="AN33" s="47">
        <f t="shared" si="152"/>
        <v>1888.5239999999999</v>
      </c>
      <c r="AO33" s="47">
        <f t="shared" si="152"/>
        <v>1911.096</v>
      </c>
      <c r="AP33" s="47">
        <f t="shared" si="152"/>
        <v>1876.248</v>
      </c>
      <c r="AQ33" s="47">
        <f t="shared" si="152"/>
        <v>2053.2599999999998</v>
      </c>
      <c r="AR33" s="47">
        <f t="shared" si="152"/>
        <v>2232.252</v>
      </c>
      <c r="AS33" s="47">
        <f t="shared" si="152"/>
        <v>1907.5319999999999</v>
      </c>
      <c r="AT33" s="47">
        <f t="shared" si="152"/>
        <v>3471.732</v>
      </c>
      <c r="AU33" s="47">
        <f t="shared" si="152"/>
        <v>1881</v>
      </c>
      <c r="AV33" s="47">
        <f t="shared" si="152"/>
        <v>1805.3639999999998</v>
      </c>
      <c r="AW33" s="47">
        <f t="shared" si="152"/>
        <v>1922.58</v>
      </c>
      <c r="AX33" s="47">
        <f t="shared" si="152"/>
        <v>2280.5639999999999</v>
      </c>
      <c r="AY33" s="47">
        <f t="shared" si="152"/>
        <v>1698.444</v>
      </c>
      <c r="AZ33" s="47">
        <f t="shared" si="152"/>
        <v>2881.692</v>
      </c>
      <c r="BA33" s="47">
        <f t="shared" si="152"/>
        <v>1661.22</v>
      </c>
      <c r="BB33" s="47">
        <f t="shared" si="152"/>
        <v>2357.7840000000001</v>
      </c>
      <c r="BC33" s="47">
        <f t="shared" si="152"/>
        <v>2930.0039999999999</v>
      </c>
      <c r="BD33" s="47">
        <f t="shared" si="152"/>
        <v>3858.6239999999998</v>
      </c>
      <c r="BE33" s="47">
        <f t="shared" si="152"/>
        <v>2250.4679999999998</v>
      </c>
      <c r="BF33" s="47">
        <f t="shared" si="152"/>
        <v>2629.0439999999999</v>
      </c>
      <c r="BG33" s="47">
        <f t="shared" si="152"/>
        <v>2104.3440000000001</v>
      </c>
      <c r="BH33" s="47">
        <f t="shared" si="152"/>
        <v>3183.84</v>
      </c>
      <c r="BI33" s="47">
        <f t="shared" si="152"/>
        <v>1669.932</v>
      </c>
      <c r="BJ33" s="47">
        <f t="shared" si="152"/>
        <v>1371.7439999999999</v>
      </c>
      <c r="BK33" s="47">
        <f t="shared" si="152"/>
        <v>1874.664</v>
      </c>
      <c r="BL33" s="47">
        <f t="shared" si="152"/>
        <v>1930.5</v>
      </c>
      <c r="BM33" s="47">
        <f t="shared" si="152"/>
        <v>2153.0520000000001</v>
      </c>
      <c r="BN33" s="47">
        <f t="shared" si="152"/>
        <v>2046.924</v>
      </c>
      <c r="BO33" s="47">
        <f t="shared" si="152"/>
        <v>2324.1239999999998</v>
      </c>
      <c r="BP33" s="47">
        <f t="shared" si="152"/>
        <v>1731.7080000000001</v>
      </c>
      <c r="BQ33" s="47">
        <f t="shared" si="152"/>
        <v>1707.5519999999999</v>
      </c>
      <c r="BR33" s="47">
        <f t="shared" si="152"/>
        <v>1856.4480000000001</v>
      </c>
      <c r="BS33" s="47">
        <f t="shared" ref="BS33:CI33" si="155">$C$33*12*BS39</f>
        <v>2412.828</v>
      </c>
      <c r="BT33" s="47">
        <f t="shared" si="155"/>
        <v>2189.4839999999999</v>
      </c>
      <c r="BU33" s="47">
        <f t="shared" si="155"/>
        <v>1995.444</v>
      </c>
      <c r="BV33" s="47">
        <f t="shared" si="155"/>
        <v>2081.3760000000002</v>
      </c>
      <c r="BW33" s="47">
        <f t="shared" si="155"/>
        <v>2008.5119999999999</v>
      </c>
      <c r="BX33" s="47">
        <f t="shared" si="155"/>
        <v>2005.74</v>
      </c>
      <c r="BY33" s="47">
        <f t="shared" si="155"/>
        <v>1971.684</v>
      </c>
      <c r="BZ33" s="47">
        <f t="shared" si="155"/>
        <v>2043.36</v>
      </c>
      <c r="CA33" s="47">
        <f t="shared" si="155"/>
        <v>2085.3360000000002</v>
      </c>
      <c r="CB33" s="47">
        <f t="shared" si="155"/>
        <v>2052.864</v>
      </c>
      <c r="CC33" s="47">
        <f t="shared" si="155"/>
        <v>2173.6439999999998</v>
      </c>
      <c r="CD33" s="47">
        <f t="shared" si="155"/>
        <v>1833.48</v>
      </c>
      <c r="CE33" s="47">
        <f t="shared" si="155"/>
        <v>1544.4</v>
      </c>
      <c r="CF33" s="47">
        <f t="shared" si="155"/>
        <v>1764.18</v>
      </c>
      <c r="CG33" s="47">
        <f t="shared" si="155"/>
        <v>2074.2479999999996</v>
      </c>
      <c r="CH33" s="47">
        <f t="shared" si="155"/>
        <v>2237.7960000000003</v>
      </c>
      <c r="CI33" s="47">
        <f t="shared" si="155"/>
        <v>1705.5719999999999</v>
      </c>
      <c r="CJ33" s="84" t="s">
        <v>121</v>
      </c>
      <c r="CK33" s="53" t="s">
        <v>6</v>
      </c>
      <c r="CL33" s="53">
        <v>0.39</v>
      </c>
      <c r="CM33" s="47">
        <f>$CL$33*12*CM39</f>
        <v>2292.732</v>
      </c>
      <c r="CN33" s="47">
        <f t="shared" ref="CN33:CQ33" si="156">$CL$33*12*CN39</f>
        <v>2133.6119999999996</v>
      </c>
      <c r="CO33" s="47">
        <f t="shared" si="156"/>
        <v>2151.864</v>
      </c>
      <c r="CP33" s="47">
        <f t="shared" si="156"/>
        <v>2420.4960000000001</v>
      </c>
      <c r="CQ33" s="47">
        <f t="shared" si="156"/>
        <v>2415.348</v>
      </c>
      <c r="CR33" s="84" t="s">
        <v>166</v>
      </c>
      <c r="CS33" s="53" t="s">
        <v>6</v>
      </c>
      <c r="CT33" s="53">
        <v>0.38</v>
      </c>
      <c r="CU33" s="47">
        <f>$CT$33*12*CU39</f>
        <v>2072.0640000000003</v>
      </c>
      <c r="CV33" s="47">
        <f t="shared" ref="CV33:CZ33" si="157">$CT$33*12*CV39</f>
        <v>2107.6320000000001</v>
      </c>
      <c r="CW33" s="47">
        <f t="shared" si="157"/>
        <v>2124.0480000000002</v>
      </c>
      <c r="CX33" s="47">
        <f t="shared" si="157"/>
        <v>2156.424</v>
      </c>
      <c r="CY33" s="47">
        <f t="shared" si="157"/>
        <v>2086.6560000000004</v>
      </c>
      <c r="CZ33" s="47">
        <f t="shared" si="157"/>
        <v>2110.3680000000004</v>
      </c>
      <c r="DA33" s="84" t="s">
        <v>121</v>
      </c>
      <c r="DB33" s="53" t="s">
        <v>6</v>
      </c>
      <c r="DC33" s="53">
        <v>0.33</v>
      </c>
      <c r="DD33" s="47">
        <f>$DC$33*12*DD39</f>
        <v>1940.0039999999999</v>
      </c>
      <c r="DE33" s="47">
        <f t="shared" ref="DE33:DW33" si="158">$DC$33*12*DE39</f>
        <v>2195.8200000000002</v>
      </c>
      <c r="DF33" s="47">
        <f t="shared" si="158"/>
        <v>3936.636</v>
      </c>
      <c r="DG33" s="47">
        <f t="shared" si="158"/>
        <v>1774.08</v>
      </c>
      <c r="DH33" s="47">
        <f t="shared" si="158"/>
        <v>2237.4</v>
      </c>
      <c r="DI33" s="47">
        <f t="shared" si="158"/>
        <v>2241.7559999999999</v>
      </c>
      <c r="DJ33" s="47">
        <f t="shared" si="158"/>
        <v>2000.5919999999999</v>
      </c>
      <c r="DK33" s="47">
        <f t="shared" si="158"/>
        <v>2016.432</v>
      </c>
      <c r="DL33" s="47">
        <f t="shared" si="158"/>
        <v>2252.8440000000001</v>
      </c>
      <c r="DM33" s="47">
        <f t="shared" si="158"/>
        <v>1900.404</v>
      </c>
      <c r="DN33" s="47">
        <f t="shared" si="158"/>
        <v>2206.9079999999999</v>
      </c>
      <c r="DO33" s="47">
        <f t="shared" si="158"/>
        <v>1786.752</v>
      </c>
      <c r="DP33" s="47">
        <f t="shared" si="158"/>
        <v>2848.8240000000001</v>
      </c>
      <c r="DQ33" s="47">
        <f t="shared" si="158"/>
        <v>1799.028</v>
      </c>
      <c r="DR33" s="47">
        <f t="shared" si="158"/>
        <v>1898.424</v>
      </c>
      <c r="DS33" s="47">
        <f t="shared" si="158"/>
        <v>1831.1039999999998</v>
      </c>
      <c r="DT33" s="47">
        <f t="shared" si="158"/>
        <v>1848.1319999999998</v>
      </c>
      <c r="DU33" s="47">
        <f t="shared" si="158"/>
        <v>1664.7839999999999</v>
      </c>
      <c r="DV33" s="47">
        <f t="shared" si="158"/>
        <v>3508.9560000000001</v>
      </c>
      <c r="DW33" s="47">
        <f t="shared" si="158"/>
        <v>2113.848</v>
      </c>
      <c r="DX33" s="84" t="s">
        <v>121</v>
      </c>
      <c r="DY33" s="53" t="s">
        <v>6</v>
      </c>
      <c r="DZ33" s="53">
        <v>0.39</v>
      </c>
      <c r="EA33" s="47">
        <f>$DZ$33*12*EA39</f>
        <v>2292.732</v>
      </c>
      <c r="EB33" s="47">
        <f t="shared" ref="EB33:EC33" si="159">$DZ$33*12*EB39</f>
        <v>2180.4119999999998</v>
      </c>
      <c r="EC33" s="47">
        <f t="shared" si="159"/>
        <v>2189.7719999999999</v>
      </c>
      <c r="ED33" s="84" t="s">
        <v>166</v>
      </c>
      <c r="EE33" s="53" t="s">
        <v>6</v>
      </c>
      <c r="EF33" s="53">
        <v>0.38</v>
      </c>
      <c r="EG33" s="47">
        <f>$EF$33*12*EG39</f>
        <v>2078.904</v>
      </c>
      <c r="EH33" s="103">
        <f>$EF$33*12*EH39</f>
        <v>1896.0480000000002</v>
      </c>
      <c r="EI33" s="131" t="s">
        <v>205</v>
      </c>
      <c r="EJ33" s="132" t="s">
        <v>206</v>
      </c>
      <c r="EK33" s="118">
        <f>0.03*12*EK39</f>
        <v>1355.5439999999999</v>
      </c>
      <c r="EL33" s="119">
        <f>0.03*12*EL39</f>
        <v>1420.6680000000001</v>
      </c>
      <c r="EM33" s="118">
        <f>0.03*12*EM39</f>
        <v>912.99599999999998</v>
      </c>
      <c r="EN33" s="119">
        <f>0.03*12*EN39</f>
        <v>831.3119999999999</v>
      </c>
      <c r="EO33" s="119">
        <f>0.03*12*EO39</f>
        <v>1344.636</v>
      </c>
      <c r="EP33" s="150"/>
      <c r="EQ33" s="150"/>
      <c r="ER33" s="154"/>
    </row>
    <row r="34" spans="1:149" s="48" customFormat="1" ht="94.5" customHeight="1" x14ac:dyDescent="0.2">
      <c r="A34" s="69" t="s">
        <v>122</v>
      </c>
      <c r="B34" s="64" t="s">
        <v>128</v>
      </c>
      <c r="C34" s="72" t="s">
        <v>173</v>
      </c>
      <c r="D34" s="49">
        <v>7500</v>
      </c>
      <c r="E34" s="49">
        <v>7500</v>
      </c>
      <c r="F34" s="49">
        <v>7500</v>
      </c>
      <c r="G34" s="49">
        <v>7500</v>
      </c>
      <c r="H34" s="49">
        <v>7500</v>
      </c>
      <c r="I34" s="49">
        <v>7500</v>
      </c>
      <c r="J34" s="49">
        <v>7500</v>
      </c>
      <c r="K34" s="49">
        <v>7500</v>
      </c>
      <c r="L34" s="49">
        <v>7500</v>
      </c>
      <c r="M34" s="49">
        <v>7500</v>
      </c>
      <c r="N34" s="49">
        <v>7500</v>
      </c>
      <c r="O34" s="49">
        <v>7500</v>
      </c>
      <c r="P34" s="49">
        <v>7500</v>
      </c>
      <c r="Q34" s="49">
        <v>7500</v>
      </c>
      <c r="R34" s="49">
        <v>7500</v>
      </c>
      <c r="S34" s="49">
        <v>7500</v>
      </c>
      <c r="T34" s="49">
        <v>7500</v>
      </c>
      <c r="U34" s="49">
        <v>7500</v>
      </c>
      <c r="V34" s="49">
        <v>7500</v>
      </c>
      <c r="W34" s="49">
        <v>7500</v>
      </c>
      <c r="X34" s="49">
        <v>7500</v>
      </c>
      <c r="Y34" s="49">
        <v>7500</v>
      </c>
      <c r="Z34" s="49">
        <v>7500</v>
      </c>
      <c r="AA34" s="49">
        <v>7500</v>
      </c>
      <c r="AB34" s="49">
        <v>7500</v>
      </c>
      <c r="AC34" s="49">
        <v>7500</v>
      </c>
      <c r="AD34" s="49">
        <v>7500</v>
      </c>
      <c r="AE34" s="49">
        <v>7500</v>
      </c>
      <c r="AF34" s="49">
        <v>7500</v>
      </c>
      <c r="AG34" s="49">
        <v>7500</v>
      </c>
      <c r="AH34" s="49">
        <v>7500</v>
      </c>
      <c r="AI34" s="49">
        <v>7500</v>
      </c>
      <c r="AJ34" s="49">
        <v>7500</v>
      </c>
      <c r="AK34" s="49">
        <v>7500</v>
      </c>
      <c r="AL34" s="49">
        <v>7500</v>
      </c>
      <c r="AM34" s="49">
        <v>7500</v>
      </c>
      <c r="AN34" s="49">
        <v>7500</v>
      </c>
      <c r="AO34" s="49">
        <v>7500</v>
      </c>
      <c r="AP34" s="49">
        <v>7500</v>
      </c>
      <c r="AQ34" s="49">
        <v>7500</v>
      </c>
      <c r="AR34" s="49">
        <v>7500</v>
      </c>
      <c r="AS34" s="49">
        <v>7500</v>
      </c>
      <c r="AT34" s="49">
        <v>7500</v>
      </c>
      <c r="AU34" s="49">
        <v>7500</v>
      </c>
      <c r="AV34" s="49">
        <v>7500</v>
      </c>
      <c r="AW34" s="49">
        <v>7500</v>
      </c>
      <c r="AX34" s="49">
        <v>7500</v>
      </c>
      <c r="AY34" s="49">
        <v>7500</v>
      </c>
      <c r="AZ34" s="49">
        <v>7500</v>
      </c>
      <c r="BA34" s="49">
        <v>7500</v>
      </c>
      <c r="BB34" s="49">
        <v>7500</v>
      </c>
      <c r="BC34" s="49">
        <v>7500</v>
      </c>
      <c r="BD34" s="49">
        <v>7500</v>
      </c>
      <c r="BE34" s="49">
        <v>7500</v>
      </c>
      <c r="BF34" s="49">
        <v>7500</v>
      </c>
      <c r="BG34" s="49">
        <v>7500</v>
      </c>
      <c r="BH34" s="49">
        <v>7500</v>
      </c>
      <c r="BI34" s="49">
        <v>7500</v>
      </c>
      <c r="BJ34" s="49">
        <v>7500</v>
      </c>
      <c r="BK34" s="49">
        <v>7500</v>
      </c>
      <c r="BL34" s="49">
        <v>7500</v>
      </c>
      <c r="BM34" s="49">
        <v>7500</v>
      </c>
      <c r="BN34" s="49">
        <v>7500</v>
      </c>
      <c r="BO34" s="49">
        <v>7500</v>
      </c>
      <c r="BP34" s="49">
        <v>7500</v>
      </c>
      <c r="BQ34" s="49">
        <v>7500</v>
      </c>
      <c r="BR34" s="49">
        <v>7500</v>
      </c>
      <c r="BS34" s="49">
        <v>7500</v>
      </c>
      <c r="BT34" s="49">
        <v>7500</v>
      </c>
      <c r="BU34" s="49">
        <v>7500</v>
      </c>
      <c r="BV34" s="49">
        <v>7500</v>
      </c>
      <c r="BW34" s="49">
        <v>7500</v>
      </c>
      <c r="BX34" s="49">
        <v>7500</v>
      </c>
      <c r="BY34" s="49">
        <v>7500</v>
      </c>
      <c r="BZ34" s="49">
        <v>7500</v>
      </c>
      <c r="CA34" s="49">
        <v>7500</v>
      </c>
      <c r="CB34" s="49">
        <v>7500</v>
      </c>
      <c r="CC34" s="49">
        <v>7500</v>
      </c>
      <c r="CD34" s="49">
        <v>7500</v>
      </c>
      <c r="CE34" s="49">
        <v>7500</v>
      </c>
      <c r="CF34" s="49">
        <v>7500</v>
      </c>
      <c r="CG34" s="49">
        <v>7500</v>
      </c>
      <c r="CH34" s="49">
        <v>7500</v>
      </c>
      <c r="CI34" s="49">
        <v>7500</v>
      </c>
      <c r="CJ34" s="91" t="s">
        <v>122</v>
      </c>
      <c r="CK34" s="53" t="s">
        <v>128</v>
      </c>
      <c r="CL34" s="72" t="s">
        <v>173</v>
      </c>
      <c r="CM34" s="49">
        <v>7500</v>
      </c>
      <c r="CN34" s="49">
        <v>7500</v>
      </c>
      <c r="CO34" s="49">
        <v>7500</v>
      </c>
      <c r="CP34" s="49">
        <v>7500</v>
      </c>
      <c r="CQ34" s="49">
        <v>7500</v>
      </c>
      <c r="CR34" s="91" t="s">
        <v>167</v>
      </c>
      <c r="CS34" s="53" t="s">
        <v>128</v>
      </c>
      <c r="CT34" s="72" t="s">
        <v>173</v>
      </c>
      <c r="CU34" s="49">
        <v>7500</v>
      </c>
      <c r="CV34" s="49">
        <v>7500</v>
      </c>
      <c r="CW34" s="49">
        <v>7500</v>
      </c>
      <c r="CX34" s="49">
        <v>7500</v>
      </c>
      <c r="CY34" s="49">
        <v>7500</v>
      </c>
      <c r="CZ34" s="49">
        <v>7500</v>
      </c>
      <c r="DA34" s="91" t="s">
        <v>122</v>
      </c>
      <c r="DB34" s="53" t="s">
        <v>128</v>
      </c>
      <c r="DC34" s="72" t="s">
        <v>174</v>
      </c>
      <c r="DD34" s="49">
        <v>2500</v>
      </c>
      <c r="DE34" s="49">
        <v>2500</v>
      </c>
      <c r="DF34" s="49">
        <v>2500</v>
      </c>
      <c r="DG34" s="49">
        <v>2500</v>
      </c>
      <c r="DH34" s="49">
        <v>2500</v>
      </c>
      <c r="DI34" s="49">
        <v>2500</v>
      </c>
      <c r="DJ34" s="49">
        <v>2500</v>
      </c>
      <c r="DK34" s="49">
        <v>2500</v>
      </c>
      <c r="DL34" s="49">
        <v>2500</v>
      </c>
      <c r="DM34" s="49">
        <v>2500</v>
      </c>
      <c r="DN34" s="49">
        <v>2500</v>
      </c>
      <c r="DO34" s="49">
        <v>2500</v>
      </c>
      <c r="DP34" s="49">
        <v>2500</v>
      </c>
      <c r="DQ34" s="49">
        <v>2500</v>
      </c>
      <c r="DR34" s="49">
        <v>2500</v>
      </c>
      <c r="DS34" s="49">
        <v>2500</v>
      </c>
      <c r="DT34" s="49">
        <v>2500</v>
      </c>
      <c r="DU34" s="49">
        <v>2500</v>
      </c>
      <c r="DV34" s="49">
        <v>2500</v>
      </c>
      <c r="DW34" s="49">
        <v>2500</v>
      </c>
      <c r="DX34" s="91" t="s">
        <v>122</v>
      </c>
      <c r="DY34" s="53" t="s">
        <v>128</v>
      </c>
      <c r="DZ34" s="72" t="s">
        <v>175</v>
      </c>
      <c r="EA34" s="49">
        <v>2500</v>
      </c>
      <c r="EB34" s="49">
        <v>2500</v>
      </c>
      <c r="EC34" s="49">
        <v>2500</v>
      </c>
      <c r="ED34" s="91" t="s">
        <v>167</v>
      </c>
      <c r="EE34" s="53" t="s">
        <v>128</v>
      </c>
      <c r="EF34" s="72" t="s">
        <v>175</v>
      </c>
      <c r="EG34" s="49">
        <v>2500</v>
      </c>
      <c r="EH34" s="104">
        <v>2500</v>
      </c>
      <c r="EI34" s="136" t="s">
        <v>214</v>
      </c>
      <c r="EJ34" s="72" t="s">
        <v>215</v>
      </c>
      <c r="EK34" s="141">
        <v>25000</v>
      </c>
      <c r="EL34" s="142">
        <v>25000</v>
      </c>
      <c r="EM34" s="141">
        <v>25000</v>
      </c>
      <c r="EN34" s="142">
        <v>25000</v>
      </c>
      <c r="EO34" s="142">
        <v>25000</v>
      </c>
      <c r="EP34" s="151"/>
      <c r="EQ34" s="151"/>
      <c r="ER34" s="2"/>
    </row>
    <row r="35" spans="1:149" s="1" customFormat="1" x14ac:dyDescent="0.2">
      <c r="A35" s="69" t="s">
        <v>123</v>
      </c>
      <c r="B35" s="64" t="s">
        <v>129</v>
      </c>
      <c r="C35" s="58">
        <v>2.78</v>
      </c>
      <c r="D35" s="21">
        <f>$C$35*12*D39</f>
        <v>16099.536</v>
      </c>
      <c r="E35" s="21">
        <f t="shared" ref="E35:BR35" si="160">$C$35*12*E39</f>
        <v>19719.096000000001</v>
      </c>
      <c r="F35" s="21">
        <f t="shared" si="160"/>
        <v>24135.96</v>
      </c>
      <c r="G35" s="21">
        <f t="shared" si="160"/>
        <v>15388.968000000001</v>
      </c>
      <c r="H35" s="21">
        <f t="shared" si="160"/>
        <v>14244.72</v>
      </c>
      <c r="I35" s="21">
        <f t="shared" si="160"/>
        <v>45486.36</v>
      </c>
      <c r="J35" s="21">
        <f t="shared" si="160"/>
        <v>19442.207999999999</v>
      </c>
      <c r="K35" s="21">
        <f t="shared" si="160"/>
        <v>19365.48</v>
      </c>
      <c r="L35" s="21">
        <f t="shared" si="160"/>
        <v>18421.392</v>
      </c>
      <c r="M35" s="21">
        <f t="shared" si="160"/>
        <v>18828.383999999998</v>
      </c>
      <c r="N35" s="21">
        <f t="shared" si="160"/>
        <v>20126.088</v>
      </c>
      <c r="O35" s="21">
        <f t="shared" si="160"/>
        <v>11542.56</v>
      </c>
      <c r="P35" s="21">
        <f t="shared" si="160"/>
        <v>26988.239999999998</v>
      </c>
      <c r="Q35" s="21">
        <f t="shared" si="160"/>
        <v>20813.304</v>
      </c>
      <c r="R35" s="21">
        <f t="shared" si="160"/>
        <v>20819.975999999999</v>
      </c>
      <c r="S35" s="21">
        <f t="shared" si="160"/>
        <v>19345.464</v>
      </c>
      <c r="T35" s="21">
        <f t="shared" si="160"/>
        <v>15509.063999999998</v>
      </c>
      <c r="U35" s="21">
        <f t="shared" si="160"/>
        <v>21116.880000000001</v>
      </c>
      <c r="V35" s="21">
        <f t="shared" si="160"/>
        <v>17447.28</v>
      </c>
      <c r="W35" s="21">
        <f t="shared" si="160"/>
        <v>24296.088</v>
      </c>
      <c r="X35" s="21">
        <f t="shared" si="160"/>
        <v>16433.136000000002</v>
      </c>
      <c r="Y35" s="21">
        <f t="shared" si="160"/>
        <v>18781.68</v>
      </c>
      <c r="Z35" s="21">
        <f t="shared" si="160"/>
        <v>14304.768</v>
      </c>
      <c r="AA35" s="21">
        <f t="shared" ref="AA35" si="161">$C$35*12*AA39</f>
        <v>19959.287999999997</v>
      </c>
      <c r="AB35" s="21">
        <f t="shared" si="160"/>
        <v>15258.864</v>
      </c>
      <c r="AC35" s="21">
        <f t="shared" si="160"/>
        <v>16843.464</v>
      </c>
      <c r="AD35" s="21">
        <f t="shared" si="160"/>
        <v>15856.008</v>
      </c>
      <c r="AE35" s="21">
        <f t="shared" si="160"/>
        <v>15362.279999999999</v>
      </c>
      <c r="AF35" s="21">
        <f t="shared" si="160"/>
        <v>18805.032000000003</v>
      </c>
      <c r="AG35" s="21">
        <f t="shared" si="160"/>
        <v>24316.103999999999</v>
      </c>
      <c r="AH35" s="21">
        <f t="shared" si="160"/>
        <v>15435.671999999999</v>
      </c>
      <c r="AI35" s="21">
        <f t="shared" ref="AI35" si="162">$C$35*12*AI39</f>
        <v>15208.823999999999</v>
      </c>
      <c r="AJ35" s="21">
        <f t="shared" si="160"/>
        <v>17230.439999999999</v>
      </c>
      <c r="AK35" s="21">
        <f t="shared" si="160"/>
        <v>17243.784</v>
      </c>
      <c r="AL35" s="21">
        <f t="shared" si="160"/>
        <v>17133.696</v>
      </c>
      <c r="AM35" s="21">
        <f t="shared" si="160"/>
        <v>15762.6</v>
      </c>
      <c r="AN35" s="21">
        <f t="shared" si="160"/>
        <v>15909.383999999998</v>
      </c>
      <c r="AO35" s="21">
        <f t="shared" si="160"/>
        <v>16099.536</v>
      </c>
      <c r="AP35" s="21">
        <f t="shared" si="160"/>
        <v>15805.968000000001</v>
      </c>
      <c r="AQ35" s="21">
        <f t="shared" si="160"/>
        <v>17297.16</v>
      </c>
      <c r="AR35" s="21">
        <f t="shared" si="160"/>
        <v>18805.032000000003</v>
      </c>
      <c r="AS35" s="21">
        <f t="shared" si="160"/>
        <v>16069.511999999999</v>
      </c>
      <c r="AT35" s="21">
        <f t="shared" si="160"/>
        <v>29246.712</v>
      </c>
      <c r="AU35" s="21">
        <f t="shared" si="160"/>
        <v>15846</v>
      </c>
      <c r="AV35" s="21">
        <f t="shared" si="160"/>
        <v>15208.823999999999</v>
      </c>
      <c r="AW35" s="21">
        <f t="shared" si="160"/>
        <v>16196.279999999999</v>
      </c>
      <c r="AX35" s="21">
        <f t="shared" si="160"/>
        <v>19212.023999999998</v>
      </c>
      <c r="AY35" s="21">
        <f t="shared" si="160"/>
        <v>14308.103999999999</v>
      </c>
      <c r="AZ35" s="21">
        <f t="shared" si="160"/>
        <v>24276.072</v>
      </c>
      <c r="BA35" s="21">
        <f t="shared" si="160"/>
        <v>13994.52</v>
      </c>
      <c r="BB35" s="21">
        <f t="shared" si="160"/>
        <v>19862.543999999998</v>
      </c>
      <c r="BC35" s="21">
        <f t="shared" si="160"/>
        <v>24683.063999999998</v>
      </c>
      <c r="BD35" s="21">
        <f t="shared" si="160"/>
        <v>32505.984</v>
      </c>
      <c r="BE35" s="21">
        <f t="shared" si="160"/>
        <v>18958.487999999998</v>
      </c>
      <c r="BF35" s="21">
        <f t="shared" si="160"/>
        <v>22147.703999999998</v>
      </c>
      <c r="BG35" s="21">
        <f t="shared" si="160"/>
        <v>17727.503999999997</v>
      </c>
      <c r="BH35" s="21">
        <f t="shared" si="160"/>
        <v>26821.439999999999</v>
      </c>
      <c r="BI35" s="21">
        <f t="shared" si="160"/>
        <v>14067.912</v>
      </c>
      <c r="BJ35" s="21">
        <f t="shared" si="160"/>
        <v>11555.903999999999</v>
      </c>
      <c r="BK35" s="21">
        <f t="shared" si="160"/>
        <v>15792.624</v>
      </c>
      <c r="BL35" s="21">
        <f t="shared" si="160"/>
        <v>16263</v>
      </c>
      <c r="BM35" s="21">
        <f t="shared" si="160"/>
        <v>18137.832000000002</v>
      </c>
      <c r="BN35" s="21">
        <f t="shared" si="160"/>
        <v>17243.784</v>
      </c>
      <c r="BO35" s="21">
        <f t="shared" si="160"/>
        <v>19578.984</v>
      </c>
      <c r="BP35" s="21">
        <f t="shared" si="160"/>
        <v>14588.328</v>
      </c>
      <c r="BQ35" s="21">
        <f t="shared" si="160"/>
        <v>14384.831999999999</v>
      </c>
      <c r="BR35" s="21">
        <f t="shared" si="160"/>
        <v>15639.168</v>
      </c>
      <c r="BS35" s="21">
        <f t="shared" ref="BS35:CI35" si="163">$C$35*12*BS39</f>
        <v>20326.248</v>
      </c>
      <c r="BT35" s="21">
        <f t="shared" si="163"/>
        <v>18444.743999999999</v>
      </c>
      <c r="BU35" s="21">
        <f t="shared" si="163"/>
        <v>16810.103999999999</v>
      </c>
      <c r="BV35" s="21">
        <f t="shared" si="163"/>
        <v>17534.016</v>
      </c>
      <c r="BW35" s="21">
        <f t="shared" si="163"/>
        <v>16920.191999999999</v>
      </c>
      <c r="BX35" s="21">
        <f t="shared" si="163"/>
        <v>16896.84</v>
      </c>
      <c r="BY35" s="21">
        <f t="shared" si="163"/>
        <v>16609.944</v>
      </c>
      <c r="BZ35" s="21">
        <f t="shared" si="163"/>
        <v>17213.759999999998</v>
      </c>
      <c r="CA35" s="21">
        <f t="shared" si="163"/>
        <v>17567.376</v>
      </c>
      <c r="CB35" s="21">
        <f t="shared" si="163"/>
        <v>17293.824000000001</v>
      </c>
      <c r="CC35" s="21">
        <f t="shared" si="163"/>
        <v>18311.304</v>
      </c>
      <c r="CD35" s="21">
        <f t="shared" si="163"/>
        <v>15445.68</v>
      </c>
      <c r="CE35" s="21">
        <f t="shared" si="163"/>
        <v>13010.4</v>
      </c>
      <c r="CF35" s="21">
        <f t="shared" si="163"/>
        <v>14861.88</v>
      </c>
      <c r="CG35" s="21">
        <f t="shared" si="163"/>
        <v>17473.967999999997</v>
      </c>
      <c r="CH35" s="21">
        <f t="shared" si="163"/>
        <v>18851.736000000001</v>
      </c>
      <c r="CI35" s="21">
        <f t="shared" si="163"/>
        <v>14368.152</v>
      </c>
      <c r="CJ35" s="91" t="s">
        <v>123</v>
      </c>
      <c r="CK35" s="53" t="s">
        <v>129</v>
      </c>
      <c r="CL35" s="58">
        <v>2.52</v>
      </c>
      <c r="CM35" s="21">
        <f>$CL$35*12*CM39</f>
        <v>14814.576000000001</v>
      </c>
      <c r="CN35" s="21">
        <f t="shared" ref="CN35:CQ35" si="164">$CL$35*12*CN39</f>
        <v>13786.416000000001</v>
      </c>
      <c r="CO35" s="21">
        <f t="shared" si="164"/>
        <v>13904.352000000001</v>
      </c>
      <c r="CP35" s="21">
        <f t="shared" si="164"/>
        <v>15640.128000000002</v>
      </c>
      <c r="CQ35" s="21">
        <f t="shared" si="164"/>
        <v>15606.864000000001</v>
      </c>
      <c r="CR35" s="91" t="s">
        <v>123</v>
      </c>
      <c r="CS35" s="53" t="s">
        <v>129</v>
      </c>
      <c r="CT35" s="58">
        <v>2.21</v>
      </c>
      <c r="CU35" s="21">
        <f>$CT$35*12*CU39</f>
        <v>12050.688</v>
      </c>
      <c r="CV35" s="21">
        <f t="shared" ref="CV35:CZ35" si="165">$CT$35*12*CV39</f>
        <v>12257.544</v>
      </c>
      <c r="CW35" s="21">
        <f t="shared" si="165"/>
        <v>12353.016</v>
      </c>
      <c r="CX35" s="21">
        <f t="shared" si="165"/>
        <v>12541.307999999999</v>
      </c>
      <c r="CY35" s="21">
        <f t="shared" si="165"/>
        <v>12135.552</v>
      </c>
      <c r="CZ35" s="21">
        <f t="shared" si="165"/>
        <v>12273.456</v>
      </c>
      <c r="DA35" s="91" t="s">
        <v>123</v>
      </c>
      <c r="DB35" s="53" t="s">
        <v>129</v>
      </c>
      <c r="DC35" s="58">
        <v>2.48</v>
      </c>
      <c r="DD35" s="21">
        <f>$DC$35*12*DD39</f>
        <v>14579.423999999999</v>
      </c>
      <c r="DE35" s="21">
        <f t="shared" ref="DE35:DW35" si="166">$DC$35*12*DE39</f>
        <v>16501.919999999998</v>
      </c>
      <c r="DF35" s="21">
        <f t="shared" si="166"/>
        <v>29584.415999999997</v>
      </c>
      <c r="DG35" s="21">
        <f t="shared" si="166"/>
        <v>13332.48</v>
      </c>
      <c r="DH35" s="21">
        <f t="shared" si="166"/>
        <v>16814.399999999998</v>
      </c>
      <c r="DI35" s="21">
        <f t="shared" si="166"/>
        <v>16847.135999999999</v>
      </c>
      <c r="DJ35" s="21">
        <f t="shared" si="166"/>
        <v>15034.751999999999</v>
      </c>
      <c r="DK35" s="21">
        <f t="shared" si="166"/>
        <v>15153.791999999999</v>
      </c>
      <c r="DL35" s="21">
        <f t="shared" si="166"/>
        <v>16930.464</v>
      </c>
      <c r="DM35" s="21">
        <f t="shared" si="166"/>
        <v>14281.823999999999</v>
      </c>
      <c r="DN35" s="21">
        <f t="shared" si="166"/>
        <v>16585.247999999996</v>
      </c>
      <c r="DO35" s="21">
        <f t="shared" si="166"/>
        <v>13427.712</v>
      </c>
      <c r="DP35" s="21">
        <f t="shared" si="166"/>
        <v>21409.343999999997</v>
      </c>
      <c r="DQ35" s="21">
        <f t="shared" si="166"/>
        <v>13519.967999999999</v>
      </c>
      <c r="DR35" s="21">
        <f t="shared" si="166"/>
        <v>14266.943999999998</v>
      </c>
      <c r="DS35" s="21">
        <f t="shared" si="166"/>
        <v>13761.023999999998</v>
      </c>
      <c r="DT35" s="21">
        <f t="shared" si="166"/>
        <v>13888.991999999998</v>
      </c>
      <c r="DU35" s="21">
        <f t="shared" si="166"/>
        <v>12511.103999999999</v>
      </c>
      <c r="DV35" s="21">
        <f t="shared" si="166"/>
        <v>26370.335999999999</v>
      </c>
      <c r="DW35" s="21">
        <f t="shared" si="166"/>
        <v>15885.887999999997</v>
      </c>
      <c r="DX35" s="91" t="s">
        <v>123</v>
      </c>
      <c r="DY35" s="53" t="s">
        <v>129</v>
      </c>
      <c r="DZ35" s="58">
        <v>2.3199999999999998</v>
      </c>
      <c r="EA35" s="21">
        <f>$DZ$35*12*EA39</f>
        <v>13638.815999999997</v>
      </c>
      <c r="EB35" s="21">
        <f t="shared" ref="EB35:EC35" si="167">$DZ$35*12*EB39</f>
        <v>12970.655999999997</v>
      </c>
      <c r="EC35" s="21">
        <f t="shared" si="167"/>
        <v>13026.335999999998</v>
      </c>
      <c r="ED35" s="91" t="s">
        <v>123</v>
      </c>
      <c r="EE35" s="53" t="s">
        <v>129</v>
      </c>
      <c r="EF35" s="58">
        <v>2.0099999999999998</v>
      </c>
      <c r="EG35" s="21">
        <f>$EF$35*12*EG39</f>
        <v>10996.307999999999</v>
      </c>
      <c r="EH35" s="105">
        <f>$EF$35*12*EH39</f>
        <v>10029.096</v>
      </c>
      <c r="EI35" s="91" t="s">
        <v>143</v>
      </c>
      <c r="EJ35" s="53" t="s">
        <v>129</v>
      </c>
      <c r="EK35" s="118">
        <v>0</v>
      </c>
      <c r="EL35" s="119">
        <v>0</v>
      </c>
      <c r="EM35" s="118">
        <v>0</v>
      </c>
      <c r="EN35" s="119">
        <v>0</v>
      </c>
      <c r="EO35" s="119">
        <f>0.65*12*EO39</f>
        <v>29133.780000000002</v>
      </c>
      <c r="EP35" s="150"/>
      <c r="EQ35" s="150"/>
    </row>
    <row r="36" spans="1:149" s="1" customFormat="1" x14ac:dyDescent="0.2">
      <c r="A36" s="69" t="s">
        <v>124</v>
      </c>
      <c r="B36" s="64" t="s">
        <v>129</v>
      </c>
      <c r="C36" s="58">
        <v>0.65</v>
      </c>
      <c r="D36" s="21">
        <f t="shared" ref="D36:AF36" si="168">$C$36*12*D39</f>
        <v>3764.2800000000007</v>
      </c>
      <c r="E36" s="21">
        <f t="shared" si="168"/>
        <v>4610.5800000000008</v>
      </c>
      <c r="F36" s="21">
        <f t="shared" si="168"/>
        <v>5643.3</v>
      </c>
      <c r="G36" s="21">
        <f t="shared" si="168"/>
        <v>3598.1400000000003</v>
      </c>
      <c r="H36" s="21">
        <f t="shared" si="168"/>
        <v>3330.6000000000004</v>
      </c>
      <c r="I36" s="21">
        <f t="shared" si="168"/>
        <v>10635.300000000001</v>
      </c>
      <c r="J36" s="21">
        <f t="shared" si="168"/>
        <v>4545.84</v>
      </c>
      <c r="K36" s="21">
        <f t="shared" si="168"/>
        <v>4527.9000000000005</v>
      </c>
      <c r="L36" s="21">
        <f t="shared" si="168"/>
        <v>4307.1600000000008</v>
      </c>
      <c r="M36" s="21">
        <f t="shared" si="168"/>
        <v>4402.3200000000006</v>
      </c>
      <c r="N36" s="21">
        <f t="shared" si="168"/>
        <v>4705.74</v>
      </c>
      <c r="O36" s="21">
        <f t="shared" si="168"/>
        <v>2698.8</v>
      </c>
      <c r="P36" s="21">
        <f t="shared" si="168"/>
        <v>6310.2000000000007</v>
      </c>
      <c r="Q36" s="21">
        <f t="shared" si="168"/>
        <v>4866.42</v>
      </c>
      <c r="R36" s="21">
        <f t="shared" si="168"/>
        <v>4867.9800000000005</v>
      </c>
      <c r="S36" s="21">
        <f t="shared" si="168"/>
        <v>4523.22</v>
      </c>
      <c r="T36" s="21">
        <f t="shared" si="168"/>
        <v>3626.2200000000003</v>
      </c>
      <c r="U36" s="21">
        <f t="shared" si="168"/>
        <v>4937.4000000000005</v>
      </c>
      <c r="V36" s="21">
        <f t="shared" si="168"/>
        <v>4079.4000000000005</v>
      </c>
      <c r="W36" s="21">
        <f t="shared" si="168"/>
        <v>5680.74</v>
      </c>
      <c r="X36" s="21">
        <f t="shared" si="168"/>
        <v>3842.2800000000007</v>
      </c>
      <c r="Y36" s="21">
        <f t="shared" si="168"/>
        <v>4391.4000000000005</v>
      </c>
      <c r="Z36" s="21">
        <f t="shared" si="168"/>
        <v>3344.6400000000003</v>
      </c>
      <c r="AA36" s="21">
        <f t="shared" ref="AA36" si="169">$C$36*12*AA39</f>
        <v>4666.74</v>
      </c>
      <c r="AB36" s="21">
        <f t="shared" si="168"/>
        <v>3567.7200000000003</v>
      </c>
      <c r="AC36" s="21">
        <f t="shared" si="168"/>
        <v>3938.2200000000003</v>
      </c>
      <c r="AD36" s="21">
        <f t="shared" si="168"/>
        <v>3707.3400000000006</v>
      </c>
      <c r="AE36" s="21">
        <f t="shared" si="168"/>
        <v>3591.9000000000005</v>
      </c>
      <c r="AF36" s="21">
        <f t="shared" si="168"/>
        <v>4396.8600000000006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f>$C$36*12*BK39</f>
        <v>3692.52</v>
      </c>
      <c r="BL36" s="21">
        <f t="shared" ref="BL36:CD36" si="170">$C$36*12*BL39</f>
        <v>3802.5000000000005</v>
      </c>
      <c r="BM36" s="21">
        <f t="shared" si="170"/>
        <v>4240.8600000000006</v>
      </c>
      <c r="BN36" s="21">
        <f t="shared" si="170"/>
        <v>4031.82</v>
      </c>
      <c r="BO36" s="21">
        <f t="shared" si="170"/>
        <v>4577.8200000000006</v>
      </c>
      <c r="BP36" s="21">
        <f t="shared" si="170"/>
        <v>3410.9400000000005</v>
      </c>
      <c r="BQ36" s="21">
        <f t="shared" si="170"/>
        <v>3363.36</v>
      </c>
      <c r="BR36" s="21">
        <f>$C$36*12*BR39</f>
        <v>3656.6400000000003</v>
      </c>
      <c r="BS36" s="21">
        <f t="shared" si="170"/>
        <v>4752.54</v>
      </c>
      <c r="BT36" s="21">
        <f t="shared" si="170"/>
        <v>4312.62</v>
      </c>
      <c r="BU36" s="21">
        <f t="shared" si="170"/>
        <v>3930.42</v>
      </c>
      <c r="BV36" s="21">
        <f t="shared" si="170"/>
        <v>4099.68</v>
      </c>
      <c r="BW36" s="21">
        <f t="shared" si="170"/>
        <v>3956.1600000000003</v>
      </c>
      <c r="BX36" s="21">
        <f t="shared" si="170"/>
        <v>3950.7000000000003</v>
      </c>
      <c r="BY36" s="21">
        <f t="shared" si="170"/>
        <v>3883.6200000000003</v>
      </c>
      <c r="BZ36" s="21">
        <f t="shared" si="170"/>
        <v>4024.8</v>
      </c>
      <c r="CA36" s="21">
        <f t="shared" si="170"/>
        <v>4107.4800000000005</v>
      </c>
      <c r="CB36" s="21">
        <f t="shared" si="170"/>
        <v>4043.52</v>
      </c>
      <c r="CC36" s="21">
        <f t="shared" si="170"/>
        <v>4281.42</v>
      </c>
      <c r="CD36" s="21">
        <f t="shared" si="170"/>
        <v>3611.4000000000005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91" t="s">
        <v>143</v>
      </c>
      <c r="CK36" s="53" t="s">
        <v>129</v>
      </c>
      <c r="CL36" s="58">
        <v>0.65</v>
      </c>
      <c r="CM36" s="78">
        <f>CL36*12*CM39</f>
        <v>3821.2200000000003</v>
      </c>
      <c r="CN36" s="78">
        <v>0</v>
      </c>
      <c r="CO36" s="78">
        <v>0</v>
      </c>
      <c r="CP36" s="78">
        <v>0</v>
      </c>
      <c r="CQ36" s="78">
        <v>0</v>
      </c>
      <c r="CR36" s="91" t="s">
        <v>143</v>
      </c>
      <c r="CS36" s="53" t="s">
        <v>129</v>
      </c>
      <c r="CT36" s="58">
        <v>0</v>
      </c>
      <c r="CU36" s="78">
        <f>CT36*12*CU39</f>
        <v>0</v>
      </c>
      <c r="CV36" s="78">
        <f t="shared" ref="CV36:CZ36" si="171">CU36*12*CV39</f>
        <v>0</v>
      </c>
      <c r="CW36" s="78">
        <f t="shared" si="171"/>
        <v>0</v>
      </c>
      <c r="CX36" s="78">
        <f t="shared" si="171"/>
        <v>0</v>
      </c>
      <c r="CY36" s="78">
        <f t="shared" si="171"/>
        <v>0</v>
      </c>
      <c r="CZ36" s="78">
        <f t="shared" si="171"/>
        <v>0</v>
      </c>
      <c r="DA36" s="91" t="s">
        <v>124</v>
      </c>
      <c r="DB36" s="53" t="s">
        <v>129</v>
      </c>
      <c r="DC36" s="58">
        <v>0.65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7">
        <f>DC36*12*DJ39</f>
        <v>3940.5600000000004</v>
      </c>
      <c r="DK36" s="77">
        <f>DC36*12*DK39</f>
        <v>3971.76</v>
      </c>
      <c r="DL36" s="77">
        <f>DL39*12*DC36</f>
        <v>4437.42</v>
      </c>
      <c r="DM36" s="77">
        <f>DC36*12*DM39</f>
        <v>3743.2200000000003</v>
      </c>
      <c r="DN36" s="77">
        <f>DC36*12*DN39</f>
        <v>4346.9399999999996</v>
      </c>
      <c r="DO36" s="78">
        <v>0</v>
      </c>
      <c r="DP36" s="78">
        <f>0</f>
        <v>0</v>
      </c>
      <c r="DQ36" s="78">
        <v>0</v>
      </c>
      <c r="DR36" s="78">
        <v>0</v>
      </c>
      <c r="DS36" s="78">
        <v>0</v>
      </c>
      <c r="DT36" s="78">
        <v>0</v>
      </c>
      <c r="DU36" s="77">
        <f>DC36*12*DU39</f>
        <v>3279.1200000000003</v>
      </c>
      <c r="DV36" s="77">
        <f>DC36*12*DV39</f>
        <v>6911.5800000000008</v>
      </c>
      <c r="DW36" s="77">
        <f>DW39*12*DC36</f>
        <v>4163.6399999999994</v>
      </c>
      <c r="DX36" s="91" t="s">
        <v>143</v>
      </c>
      <c r="DY36" s="53" t="s">
        <v>129</v>
      </c>
      <c r="DZ36" s="58">
        <v>0.65</v>
      </c>
      <c r="EA36" s="78">
        <v>0</v>
      </c>
      <c r="EB36" s="78">
        <v>0</v>
      </c>
      <c r="EC36" s="78">
        <v>0</v>
      </c>
      <c r="ED36" s="91" t="s">
        <v>143</v>
      </c>
      <c r="EE36" s="53" t="s">
        <v>129</v>
      </c>
      <c r="EF36" s="58">
        <v>0</v>
      </c>
      <c r="EG36" s="78">
        <v>0</v>
      </c>
      <c r="EH36" s="78">
        <v>0</v>
      </c>
      <c r="EI36" s="136" t="s">
        <v>207</v>
      </c>
      <c r="EJ36" s="132" t="s">
        <v>129</v>
      </c>
      <c r="EK36" s="140">
        <f>(2.32+0.15)*12*EK39</f>
        <v>111606.45599999999</v>
      </c>
      <c r="EL36" s="119">
        <f>2.45*12*EL39</f>
        <v>116021.22000000002</v>
      </c>
      <c r="EM36" s="140">
        <f>3.14*12*EM39</f>
        <v>95560.247999999992</v>
      </c>
      <c r="EN36" s="119">
        <f>2.45*12*EN39</f>
        <v>67890.48</v>
      </c>
      <c r="EO36" s="119">
        <f>2.45*12*EO39</f>
        <v>109811.94</v>
      </c>
      <c r="ES36" s="26"/>
    </row>
    <row r="37" spans="1:149" s="78" customFormat="1" x14ac:dyDescent="0.2">
      <c r="A37" s="69" t="s">
        <v>172</v>
      </c>
      <c r="B37" s="72" t="s">
        <v>129</v>
      </c>
      <c r="C37" s="58"/>
      <c r="D37" s="76">
        <f>1.9*12*D39</f>
        <v>11003.279999999999</v>
      </c>
      <c r="E37" s="76">
        <f>E39*12*2.4</f>
        <v>17023.68</v>
      </c>
      <c r="F37" s="76">
        <f>F39*12*2.5</f>
        <v>21705</v>
      </c>
      <c r="G37" s="76">
        <f>12*G39*2.4</f>
        <v>13285.44</v>
      </c>
      <c r="H37" s="76">
        <f>H39*12*2.4</f>
        <v>12297.6</v>
      </c>
      <c r="I37" s="76">
        <f>I39*12*2.2</f>
        <v>35996.400000000001</v>
      </c>
      <c r="J37" s="76">
        <f>J39*12*2.4</f>
        <v>16784.64</v>
      </c>
      <c r="K37" s="76">
        <f>K39*12*2.4</f>
        <v>16718.399999999998</v>
      </c>
      <c r="L37" s="76">
        <f>L39*12*2.5</f>
        <v>16566</v>
      </c>
      <c r="M37" s="76">
        <f>M39*12*2.6</f>
        <v>17609.28</v>
      </c>
      <c r="N37" s="76">
        <f>N39*12*2.5</f>
        <v>18099</v>
      </c>
      <c r="O37" s="76">
        <f>O39*12*2.5</f>
        <v>10380</v>
      </c>
      <c r="P37" s="76">
        <f>P39*12*2.4</f>
        <v>23299.200000000001</v>
      </c>
      <c r="Q37" s="76">
        <f>Q39*12*2.5</f>
        <v>18717</v>
      </c>
      <c r="R37" s="76">
        <f>R39*12*2.5</f>
        <v>18723</v>
      </c>
      <c r="S37" s="76">
        <f>S39*12*2.5</f>
        <v>17397</v>
      </c>
      <c r="T37" s="76">
        <f>T39*12*2.5</f>
        <v>13946.999999999998</v>
      </c>
      <c r="U37" s="76">
        <f>U39*12*2.5</f>
        <v>18990</v>
      </c>
      <c r="V37" s="76">
        <f>V39*12*2.4</f>
        <v>15062.4</v>
      </c>
      <c r="W37" s="76">
        <f>W39*12*2.5</f>
        <v>21848.999999999996</v>
      </c>
      <c r="X37" s="76">
        <f>X39*12*2.6</f>
        <v>15369.120000000003</v>
      </c>
      <c r="Y37" s="76">
        <f>Y39*12*2.5</f>
        <v>16890</v>
      </c>
      <c r="Z37" s="76">
        <f>Z39*12*2.6</f>
        <v>13378.560000000001</v>
      </c>
      <c r="AA37" s="76">
        <f>AA39*12*1.78</f>
        <v>12779.688</v>
      </c>
      <c r="AB37" s="76">
        <f>AB39*12*2.5</f>
        <v>13721.999999999998</v>
      </c>
      <c r="AC37" s="76">
        <f>AC39*12*2.4</f>
        <v>14541.119999999997</v>
      </c>
      <c r="AD37" s="76">
        <f>AD39*12*2.9</f>
        <v>16540.440000000002</v>
      </c>
      <c r="AE37" s="76">
        <f>AE39*12*2.4</f>
        <v>13262.4</v>
      </c>
      <c r="AF37" s="76">
        <f>AF39*2.6*12</f>
        <v>17587.440000000002</v>
      </c>
      <c r="AG37" s="76">
        <f>AG39*12*1.8</f>
        <v>15744.24</v>
      </c>
      <c r="AH37" s="76">
        <f>AH39*12*1.8</f>
        <v>9994.32</v>
      </c>
      <c r="AI37" s="76">
        <f>AI39*12*1.8</f>
        <v>9847.4399999999987</v>
      </c>
      <c r="AJ37" s="76">
        <f>AJ39*12*1.9</f>
        <v>11776.199999999999</v>
      </c>
      <c r="AK37" s="76">
        <f>AK39*12*1.9</f>
        <v>11785.319999999998</v>
      </c>
      <c r="AL37" s="76">
        <f>AL39*12*1.9</f>
        <v>11710.08</v>
      </c>
      <c r="AM37" s="77">
        <f t="shared" ref="AM37:AR37" si="172">AM39*12*1.7</f>
        <v>9639</v>
      </c>
      <c r="AN37" s="77">
        <f t="shared" si="172"/>
        <v>9728.7599999999984</v>
      </c>
      <c r="AO37" s="77">
        <f t="shared" si="172"/>
        <v>9845.0400000000009</v>
      </c>
      <c r="AP37" s="77">
        <f t="shared" si="172"/>
        <v>9665.52</v>
      </c>
      <c r="AQ37" s="77">
        <f t="shared" si="172"/>
        <v>10577.4</v>
      </c>
      <c r="AR37" s="77">
        <f t="shared" si="172"/>
        <v>11499.480000000001</v>
      </c>
      <c r="AS37" s="77">
        <f>AS39*12*1.8</f>
        <v>10404.719999999999</v>
      </c>
      <c r="AT37" s="77">
        <f>AT39*12*1.7</f>
        <v>17884.68</v>
      </c>
      <c r="AU37" s="79">
        <f>AU39*12*1.7</f>
        <v>9690</v>
      </c>
      <c r="AV37" s="77">
        <f>AV39*12*1.9</f>
        <v>10394.519999999999</v>
      </c>
      <c r="AW37" s="77">
        <f>AW39*12*1.9</f>
        <v>11069.4</v>
      </c>
      <c r="AX37" s="77">
        <f>AX39*12*1.8</f>
        <v>12439.439999999999</v>
      </c>
      <c r="AY37" s="77">
        <f>AY39*12*1.8</f>
        <v>9264.24</v>
      </c>
      <c r="AZ37" s="77">
        <f>AZ39*12*1.8</f>
        <v>15718.320000000003</v>
      </c>
      <c r="BA37" s="79">
        <f>BA39*12*2</f>
        <v>10068</v>
      </c>
      <c r="BB37" s="77">
        <f>BB39*1.8*12</f>
        <v>12860.64</v>
      </c>
      <c r="BC37" s="77">
        <f>BC39*12*2.6</f>
        <v>23084.879999999997</v>
      </c>
      <c r="BD37" s="77">
        <f>BD39*1.7*12</f>
        <v>19877.760000000002</v>
      </c>
      <c r="BE37" s="77">
        <f>BE39*12*1.8</f>
        <v>12275.279999999999</v>
      </c>
      <c r="BF37" s="77">
        <f>BF39*1.8*12</f>
        <v>14340.24</v>
      </c>
      <c r="BG37" s="77">
        <f>BG39*12*1.8</f>
        <v>11478.24</v>
      </c>
      <c r="BH37" s="77">
        <f>BH39*1.7*12</f>
        <v>16401.599999999999</v>
      </c>
      <c r="BI37" s="77">
        <f>BI39*1.7*12</f>
        <v>8602.68</v>
      </c>
      <c r="BJ37" s="77">
        <f>BJ39*12*2.9</f>
        <v>12054.719999999998</v>
      </c>
      <c r="BK37" s="76">
        <f>BK39*12*2.9</f>
        <v>16474.319999999996</v>
      </c>
      <c r="BL37" s="76">
        <f>BL39*2.5*12</f>
        <v>14625</v>
      </c>
      <c r="BM37" s="76">
        <f>BM39*12*2.4</f>
        <v>15658.560000000001</v>
      </c>
      <c r="BN37" s="76">
        <f>BN39*12*2.4</f>
        <v>14886.719999999998</v>
      </c>
      <c r="BO37" s="76">
        <f>BO39*2.4*12</f>
        <v>16902.72</v>
      </c>
      <c r="BP37" s="76">
        <f>BP39*12*2.5</f>
        <v>13119</v>
      </c>
      <c r="BQ37" s="76">
        <f>BQ39*12*2.3</f>
        <v>11901.119999999999</v>
      </c>
      <c r="BR37" s="76">
        <f>BR39*2.5*12</f>
        <v>14064</v>
      </c>
      <c r="BS37" s="76">
        <f>BS39*12*2.4</f>
        <v>17547.839999999997</v>
      </c>
      <c r="BT37" s="76">
        <f>BT39*12*2.5</f>
        <v>16587</v>
      </c>
      <c r="BU37" s="76">
        <f>BU39*2.4*12</f>
        <v>14512.32</v>
      </c>
      <c r="BV37" s="76">
        <f>BV39*12*2.6</f>
        <v>16398.72</v>
      </c>
      <c r="BW37" s="76">
        <f>BW39*12*2.4</f>
        <v>14607.359999999999</v>
      </c>
      <c r="BX37" s="76">
        <f>BX39*12*2.4</f>
        <v>14587.199999999999</v>
      </c>
      <c r="BY37" s="76">
        <f>BY39*12*2.4</f>
        <v>14339.519999999999</v>
      </c>
      <c r="BZ37" s="76">
        <f>BZ39*12*2.4</f>
        <v>14860.8</v>
      </c>
      <c r="CA37" s="76">
        <f>CA39*12*2.4</f>
        <v>15166.080000000002</v>
      </c>
      <c r="CB37" s="76">
        <f>CB39*2.3*12</f>
        <v>14307.84</v>
      </c>
      <c r="CC37" s="76">
        <f>CC39*12*2.5</f>
        <v>16467</v>
      </c>
      <c r="CD37" s="76">
        <f>CD39*12*2.5</f>
        <v>13890</v>
      </c>
      <c r="CE37" s="76">
        <f>CE39*12*1.9</f>
        <v>8892</v>
      </c>
      <c r="CF37" s="77">
        <f>CF39*1.8*12</f>
        <v>9622.7999999999993</v>
      </c>
      <c r="CG37" s="77">
        <f>CG39*12*1.8</f>
        <v>11314.08</v>
      </c>
      <c r="CH37" s="77">
        <f>CH39*1.9*12</f>
        <v>12884.28</v>
      </c>
      <c r="CI37" s="77">
        <f>CI39*12*2.8</f>
        <v>14471.519999999999</v>
      </c>
      <c r="CJ37" s="91" t="s">
        <v>172</v>
      </c>
      <c r="CK37" s="53" t="s">
        <v>129</v>
      </c>
      <c r="CL37" s="58"/>
      <c r="CM37" s="78">
        <f>CM39*12*2.6</f>
        <v>15284.88</v>
      </c>
      <c r="CN37" s="78">
        <f>CN39*12*1.9</f>
        <v>10394.519999999999</v>
      </c>
      <c r="CO37" s="78">
        <f>CO39*12*1.9</f>
        <v>10483.44</v>
      </c>
      <c r="CP37" s="78">
        <f>CP39*12*1.9</f>
        <v>11792.16</v>
      </c>
      <c r="CQ37" s="78">
        <f>CQ39*12*1.9</f>
        <v>11767.08</v>
      </c>
      <c r="CR37" s="91" t="s">
        <v>172</v>
      </c>
      <c r="CS37" s="53" t="s">
        <v>129</v>
      </c>
      <c r="CT37" s="58"/>
      <c r="CU37" s="77">
        <f>CU39*1.8*12</f>
        <v>9815.0399999999991</v>
      </c>
      <c r="CV37" s="77">
        <f>CV39*1.8*12</f>
        <v>9983.52</v>
      </c>
      <c r="CW37" s="77">
        <f>CW39*1.8*12</f>
        <v>10061.280000000001</v>
      </c>
      <c r="CX37" s="77">
        <f>CX39*1.7*12</f>
        <v>9647.16</v>
      </c>
      <c r="CY37" s="77">
        <f>CY39*1.8*22</f>
        <v>18120.960000000003</v>
      </c>
      <c r="CZ37" s="77">
        <f>CZ39*1.8*12</f>
        <v>9996.4800000000014</v>
      </c>
      <c r="DA37" s="91" t="s">
        <v>172</v>
      </c>
      <c r="DB37" s="53" t="s">
        <v>129</v>
      </c>
      <c r="DC37" s="58"/>
      <c r="DD37" s="78">
        <f>DD39*12*1.7</f>
        <v>9993.9599999999991</v>
      </c>
      <c r="DE37" s="77">
        <f>DE39*1.8*12</f>
        <v>11977.2</v>
      </c>
      <c r="DF37" s="77">
        <f>DF39*1.7*12</f>
        <v>20279.64</v>
      </c>
      <c r="DG37" s="77">
        <f>DG39*1.8*12</f>
        <v>9676.7999999999993</v>
      </c>
      <c r="DH37" s="77">
        <f>DH39*1.9*12</f>
        <v>12882</v>
      </c>
      <c r="DI37" s="77">
        <f>DI39*1.9*12</f>
        <v>12907.079999999998</v>
      </c>
      <c r="DJ37" s="77">
        <f>DJ39*12*2.5</f>
        <v>15156</v>
      </c>
      <c r="DK37" s="77">
        <f>DK39*12*2.5</f>
        <v>15276</v>
      </c>
      <c r="DL37" s="77">
        <f>DL39*12*2.5</f>
        <v>17067</v>
      </c>
      <c r="DM37" s="77">
        <f>DM39*12*2.5</f>
        <v>14396.999999999998</v>
      </c>
      <c r="DN37" s="77">
        <f>DN39*12*2.6</f>
        <v>17387.759999999998</v>
      </c>
      <c r="DO37" s="77">
        <f>DO39*12*1.9</f>
        <v>10287.359999999999</v>
      </c>
      <c r="DP37" s="77">
        <f>DP39*12*1.7</f>
        <v>14675.759999999998</v>
      </c>
      <c r="DQ37" s="77">
        <f>DQ39*12*1.8</f>
        <v>9812.880000000001</v>
      </c>
      <c r="DR37" s="77">
        <f>DR39*1.7*12</f>
        <v>9779.7599999999984</v>
      </c>
      <c r="DS37" s="77">
        <f>DS39*12*1.8</f>
        <v>9987.8399999999983</v>
      </c>
      <c r="DT37" s="77">
        <f>DT39*12*1.7</f>
        <v>9520.6799999999985</v>
      </c>
      <c r="DU37" s="77">
        <f>DU39*12*2.6</f>
        <v>13116.479999999998</v>
      </c>
      <c r="DV37" s="77">
        <f>DV39*12*2.3</f>
        <v>24456.36</v>
      </c>
      <c r="DW37" s="77">
        <f>DW39*12*2.7</f>
        <v>17295.12</v>
      </c>
      <c r="DX37" s="91" t="s">
        <v>172</v>
      </c>
      <c r="DY37" s="53" t="s">
        <v>129</v>
      </c>
      <c r="DZ37" s="58"/>
      <c r="EA37" s="79">
        <f>EA39*12*1.7</f>
        <v>9993.9599999999991</v>
      </c>
      <c r="EB37" s="79">
        <f>EB39*12*1.7</f>
        <v>9504.3599999999988</v>
      </c>
      <c r="EC37" s="79">
        <f>EC39*12*1.9</f>
        <v>10668.119999999999</v>
      </c>
      <c r="ED37" s="91" t="s">
        <v>172</v>
      </c>
      <c r="EE37" s="53" t="s">
        <v>129</v>
      </c>
      <c r="EF37" s="58"/>
      <c r="EG37" s="79">
        <f>EG39*12*1.8</f>
        <v>9847.4399999999987</v>
      </c>
      <c r="EH37" s="79">
        <f>EH39*12*2.26</f>
        <v>11276.495999999999</v>
      </c>
      <c r="EI37" s="136" t="s">
        <v>216</v>
      </c>
      <c r="EJ37" s="132" t="s">
        <v>129</v>
      </c>
      <c r="EK37" s="140">
        <f>1.79*12*EK39</f>
        <v>80880.792000000001</v>
      </c>
      <c r="EL37" s="119">
        <f>1.7*12*EL39</f>
        <v>80504.52</v>
      </c>
      <c r="EM37" s="140">
        <f>2.37*12*EM39</f>
        <v>72126.683999999994</v>
      </c>
      <c r="EN37" s="119">
        <f>1.98*12*EN39</f>
        <v>54866.59199999999</v>
      </c>
      <c r="EO37" s="119">
        <f>1.98*12*EO39</f>
        <v>88745.975999999995</v>
      </c>
      <c r="EP37" s="172"/>
      <c r="EQ37" s="173"/>
      <c r="ER37" s="172"/>
      <c r="ES37" s="174"/>
    </row>
    <row r="38" spans="1:149" s="15" customFormat="1" x14ac:dyDescent="0.2">
      <c r="A38" s="61" t="s">
        <v>2</v>
      </c>
      <c r="B38" s="70"/>
      <c r="C38" s="59"/>
      <c r="D38" s="13">
        <f>D35+D34+D28+D24+D14+D9+D36+D37</f>
        <v>139713.09599999999</v>
      </c>
      <c r="E38" s="13">
        <f>E35+E34+E28+E24+E14+E9+E36+E37</f>
        <v>172984.356</v>
      </c>
      <c r="F38" s="13">
        <f t="shared" ref="F38:BS38" si="173">F35+F34+F28+F24+F14+F9+F36+F37</f>
        <v>210919.26</v>
      </c>
      <c r="G38" s="13">
        <f t="shared" si="173"/>
        <v>136645.54799999998</v>
      </c>
      <c r="H38" s="13">
        <f t="shared" si="173"/>
        <v>127042.92000000001</v>
      </c>
      <c r="I38" s="13">
        <f t="shared" si="173"/>
        <v>385953.06</v>
      </c>
      <c r="J38" s="13">
        <f t="shared" si="173"/>
        <v>170660.68799999997</v>
      </c>
      <c r="K38" s="13">
        <f t="shared" si="173"/>
        <v>170016.77999999997</v>
      </c>
      <c r="L38" s="13">
        <f t="shared" si="173"/>
        <v>162756.552</v>
      </c>
      <c r="M38" s="13">
        <f t="shared" si="173"/>
        <v>166863.984</v>
      </c>
      <c r="N38" s="13">
        <f t="shared" si="173"/>
        <v>177123.82799999998</v>
      </c>
      <c r="O38" s="13">
        <f t="shared" si="173"/>
        <v>104781.35999999999</v>
      </c>
      <c r="P38" s="13">
        <f t="shared" si="173"/>
        <v>233987.64</v>
      </c>
      <c r="Q38" s="13">
        <f t="shared" si="173"/>
        <v>182915.72400000002</v>
      </c>
      <c r="R38" s="13">
        <f t="shared" si="173"/>
        <v>182971.95600000003</v>
      </c>
      <c r="S38" s="13">
        <f t="shared" si="173"/>
        <v>170544.68399999998</v>
      </c>
      <c r="T38" s="13">
        <f t="shared" si="173"/>
        <v>138211.28399999999</v>
      </c>
      <c r="U38" s="13">
        <f t="shared" si="173"/>
        <v>185474.28</v>
      </c>
      <c r="V38" s="13">
        <f t="shared" si="173"/>
        <v>153919.07999999999</v>
      </c>
      <c r="W38" s="13">
        <f t="shared" si="173"/>
        <v>212268.82799999998</v>
      </c>
      <c r="X38" s="13">
        <f t="shared" si="173"/>
        <v>146590.53599999999</v>
      </c>
      <c r="Y38" s="13">
        <f t="shared" si="173"/>
        <v>165793.07999999999</v>
      </c>
      <c r="Z38" s="13">
        <f t="shared" si="173"/>
        <v>128575.96800000001</v>
      </c>
      <c r="AA38" s="13">
        <f t="shared" ref="AA38" si="174">AA35+AA34+AA28+AA24+AA14+AA9+AA36+AA37</f>
        <v>170548.71599999996</v>
      </c>
      <c r="AB38" s="13">
        <f t="shared" si="173"/>
        <v>136102.584</v>
      </c>
      <c r="AC38" s="13">
        <f t="shared" si="173"/>
        <v>148851.80399999997</v>
      </c>
      <c r="AD38" s="13">
        <f t="shared" si="173"/>
        <v>143416.788</v>
      </c>
      <c r="AE38" s="13">
        <f t="shared" si="173"/>
        <v>136421.57999999999</v>
      </c>
      <c r="AF38" s="13">
        <f t="shared" si="173"/>
        <v>166666.33199999999</v>
      </c>
      <c r="AG38" s="13">
        <f t="shared" si="173"/>
        <v>200629.34399999998</v>
      </c>
      <c r="AH38" s="13">
        <f t="shared" si="173"/>
        <v>130096.992</v>
      </c>
      <c r="AI38" s="13">
        <f t="shared" ref="AI38" si="175">AI35+AI34+AI28+AI24+AI14+AI9+AI36+AI37</f>
        <v>128295.26400000001</v>
      </c>
      <c r="AJ38" s="13">
        <f t="shared" si="173"/>
        <v>144971.64000000001</v>
      </c>
      <c r="AK38" s="13">
        <f t="shared" si="173"/>
        <v>145078.10399999999</v>
      </c>
      <c r="AL38" s="13">
        <f t="shared" si="173"/>
        <v>144199.77599999998</v>
      </c>
      <c r="AM38" s="13">
        <f t="shared" si="173"/>
        <v>132126.6</v>
      </c>
      <c r="AN38" s="13">
        <f t="shared" si="173"/>
        <v>133287.144</v>
      </c>
      <c r="AO38" s="13">
        <f t="shared" si="173"/>
        <v>134790.576</v>
      </c>
      <c r="AP38" s="13">
        <f t="shared" si="173"/>
        <v>132469.48799999998</v>
      </c>
      <c r="AQ38" s="13">
        <f t="shared" si="173"/>
        <v>144259.56</v>
      </c>
      <c r="AR38" s="13">
        <f t="shared" si="173"/>
        <v>156181.51200000002</v>
      </c>
      <c r="AS38" s="13">
        <f t="shared" si="173"/>
        <v>135131.23199999999</v>
      </c>
      <c r="AT38" s="13">
        <f t="shared" si="173"/>
        <v>238738.39199999999</v>
      </c>
      <c r="AU38" s="13">
        <f t="shared" si="173"/>
        <v>132786</v>
      </c>
      <c r="AV38" s="13">
        <f t="shared" si="173"/>
        <v>128842.34400000001</v>
      </c>
      <c r="AW38" s="13">
        <f t="shared" si="173"/>
        <v>136720.68</v>
      </c>
      <c r="AX38" s="13">
        <f t="shared" si="173"/>
        <v>160090.46399999998</v>
      </c>
      <c r="AY38" s="13">
        <f t="shared" si="173"/>
        <v>121141.344</v>
      </c>
      <c r="AZ38" s="13">
        <f t="shared" si="173"/>
        <v>200311.39200000002</v>
      </c>
      <c r="BA38" s="13">
        <f t="shared" si="173"/>
        <v>119657.51999999999</v>
      </c>
      <c r="BB38" s="13">
        <f t="shared" si="173"/>
        <v>165257.18400000001</v>
      </c>
      <c r="BC38" s="13">
        <f t="shared" si="173"/>
        <v>210646.94399999999</v>
      </c>
      <c r="BD38" s="13">
        <f t="shared" si="173"/>
        <v>264507.74399999995</v>
      </c>
      <c r="BE38" s="13">
        <f t="shared" si="173"/>
        <v>158076.76799999998</v>
      </c>
      <c r="BF38" s="13">
        <f t="shared" si="173"/>
        <v>183406.94399999999</v>
      </c>
      <c r="BG38" s="13">
        <f t="shared" si="173"/>
        <v>148299.74399999998</v>
      </c>
      <c r="BH38" s="13">
        <f t="shared" si="173"/>
        <v>219563.03999999995</v>
      </c>
      <c r="BI38" s="13">
        <f t="shared" si="173"/>
        <v>118727.59199999998</v>
      </c>
      <c r="BJ38" s="13">
        <f t="shared" si="173"/>
        <v>103854.62399999998</v>
      </c>
      <c r="BK38" s="13">
        <f t="shared" si="173"/>
        <v>142873.46399999998</v>
      </c>
      <c r="BL38" s="13">
        <f t="shared" si="173"/>
        <v>144565.5</v>
      </c>
      <c r="BM38" s="13">
        <f t="shared" si="173"/>
        <v>159714.25199999998</v>
      </c>
      <c r="BN38" s="13">
        <f t="shared" si="173"/>
        <v>152211.32399999999</v>
      </c>
      <c r="BO38" s="13">
        <f t="shared" si="173"/>
        <v>171808.524</v>
      </c>
      <c r="BP38" s="13">
        <f t="shared" si="173"/>
        <v>130451.268</v>
      </c>
      <c r="BQ38" s="13">
        <f t="shared" si="173"/>
        <v>127701.31200000001</v>
      </c>
      <c r="BR38" s="13">
        <f t="shared" si="173"/>
        <v>139307.80800000002</v>
      </c>
      <c r="BS38" s="13">
        <f t="shared" si="173"/>
        <v>178079.62799999997</v>
      </c>
      <c r="BT38" s="13">
        <f t="shared" ref="BT38:CI38" si="176">BT35+BT34+BT28+BT24+BT14+BT9+BT36+BT37</f>
        <v>162953.36399999997</v>
      </c>
      <c r="BU38" s="13">
        <f t="shared" si="176"/>
        <v>148571.84400000001</v>
      </c>
      <c r="BV38" s="13">
        <f t="shared" si="176"/>
        <v>155908.416</v>
      </c>
      <c r="BW38" s="13">
        <f t="shared" si="176"/>
        <v>149495.71199999997</v>
      </c>
      <c r="BX38" s="13">
        <f t="shared" si="176"/>
        <v>149299.74000000002</v>
      </c>
      <c r="BY38" s="13">
        <f t="shared" si="176"/>
        <v>146892.084</v>
      </c>
      <c r="BZ38" s="13">
        <f t="shared" si="176"/>
        <v>151959.35999999999</v>
      </c>
      <c r="CA38" s="13">
        <f t="shared" si="176"/>
        <v>154926.93599999999</v>
      </c>
      <c r="CB38" s="13">
        <f t="shared" si="176"/>
        <v>152009.18400000001</v>
      </c>
      <c r="CC38" s="13">
        <f t="shared" si="176"/>
        <v>161828.72399999999</v>
      </c>
      <c r="CD38" s="13">
        <f t="shared" si="176"/>
        <v>137677.07999999999</v>
      </c>
      <c r="CE38" s="13">
        <f t="shared" si="176"/>
        <v>111302.39999999999</v>
      </c>
      <c r="CF38" s="13">
        <f t="shared" si="176"/>
        <v>125539.68</v>
      </c>
      <c r="CG38" s="13">
        <f t="shared" si="176"/>
        <v>146286.04799999995</v>
      </c>
      <c r="CH38" s="13">
        <f t="shared" si="176"/>
        <v>157907.016</v>
      </c>
      <c r="CI38" s="13">
        <f t="shared" si="176"/>
        <v>126786.67200000001</v>
      </c>
      <c r="CJ38" s="92" t="s">
        <v>2</v>
      </c>
      <c r="CK38" s="59"/>
      <c r="CL38" s="59"/>
      <c r="CM38" s="13">
        <f>CM35+CM34+CM28+CM24+CM14+CM10+CM36+CM37</f>
        <v>135540.264</v>
      </c>
      <c r="CN38" s="13">
        <f t="shared" ref="CN38:CQ38" si="177">CN35+CN34+CN28+CN24+CN14+CN10+CN36+CN37</f>
        <v>119268.444</v>
      </c>
      <c r="CO38" s="13">
        <f t="shared" si="177"/>
        <v>120224.568</v>
      </c>
      <c r="CP38" s="13">
        <f t="shared" si="177"/>
        <v>134296.75200000001</v>
      </c>
      <c r="CQ38" s="13">
        <f t="shared" si="177"/>
        <v>134027.076</v>
      </c>
      <c r="CR38" s="92" t="s">
        <v>2</v>
      </c>
      <c r="CS38" s="59"/>
      <c r="CT38" s="59"/>
      <c r="CU38" s="13">
        <f>CU35+CU34+CU28+CU24+CU14+CU10+CU36+CU37</f>
        <v>134441.18400000001</v>
      </c>
      <c r="CV38" s="13">
        <f t="shared" ref="CV38:CZ38" si="178">CV35+CV34+CV28+CV24+CV14+CV10+CV36+CV37</f>
        <v>136620.19199999998</v>
      </c>
      <c r="CW38" s="13">
        <f t="shared" si="178"/>
        <v>137625.88800000001</v>
      </c>
      <c r="CX38" s="13">
        <f t="shared" si="178"/>
        <v>139041.864</v>
      </c>
      <c r="CY38" s="13">
        <f t="shared" si="178"/>
        <v>143571.93599999999</v>
      </c>
      <c r="CZ38" s="13">
        <f t="shared" si="178"/>
        <v>136787.80799999999</v>
      </c>
      <c r="DA38" s="92" t="s">
        <v>2</v>
      </c>
      <c r="DB38" s="59"/>
      <c r="DC38" s="59"/>
      <c r="DD38" s="13">
        <f>DD35+DD34+DD28+DD24+DD14+DD10+DD36+DD37</f>
        <v>108259.61199999999</v>
      </c>
      <c r="DE38" s="13">
        <f t="shared" ref="DE38:DW38" si="179">DE35+DE34+DE28+DE24+DE14+DE10+DE36+DE37</f>
        <v>122870.86</v>
      </c>
      <c r="DF38" s="13">
        <f t="shared" si="179"/>
        <v>217106.30799999996</v>
      </c>
      <c r="DG38" s="13">
        <f t="shared" si="179"/>
        <v>99751.840000000011</v>
      </c>
      <c r="DH38" s="13">
        <f t="shared" si="179"/>
        <v>125828.19999999998</v>
      </c>
      <c r="DI38" s="13">
        <f t="shared" si="179"/>
        <v>126068.308</v>
      </c>
      <c r="DJ38" s="13">
        <f t="shared" si="179"/>
        <v>120353.056</v>
      </c>
      <c r="DK38" s="13">
        <f t="shared" si="179"/>
        <v>121286.17599999999</v>
      </c>
      <c r="DL38" s="13">
        <f t="shared" si="179"/>
        <v>135212.99199999997</v>
      </c>
      <c r="DM38" s="13">
        <f t="shared" si="179"/>
        <v>114451.07199999999</v>
      </c>
      <c r="DN38" s="13">
        <f t="shared" si="179"/>
        <v>133175.704</v>
      </c>
      <c r="DO38" s="13">
        <f t="shared" si="179"/>
        <v>100987.93599999999</v>
      </c>
      <c r="DP38" s="13">
        <f t="shared" si="179"/>
        <v>157804.07199999999</v>
      </c>
      <c r="DQ38" s="13">
        <f t="shared" si="179"/>
        <v>101119.444</v>
      </c>
      <c r="DR38" s="13">
        <f t="shared" si="179"/>
        <v>105992.87199999997</v>
      </c>
      <c r="DS38" s="13">
        <f t="shared" si="179"/>
        <v>102877.79199999999</v>
      </c>
      <c r="DT38" s="13">
        <f t="shared" si="179"/>
        <v>103251.19599999998</v>
      </c>
      <c r="DU38" s="13">
        <f t="shared" si="179"/>
        <v>101075.39199999998</v>
      </c>
      <c r="DV38" s="13">
        <f t="shared" si="179"/>
        <v>207082.76799999998</v>
      </c>
      <c r="DW38" s="13">
        <f t="shared" si="179"/>
        <v>128305.98399999998</v>
      </c>
      <c r="DX38" s="92" t="s">
        <v>2</v>
      </c>
      <c r="DY38" s="59"/>
      <c r="DZ38" s="59"/>
      <c r="EA38" s="13">
        <f>EA35+EA34+EA28+EA24+EA14+EA10+EA36+EA37</f>
        <v>100734.74799999999</v>
      </c>
      <c r="EB38" s="13">
        <f t="shared" ref="EB38:EC38" si="180">EB35+EB34+EB28+EB24+EB14+EB10+EB36+EB37</f>
        <v>95922.267999999996</v>
      </c>
      <c r="EC38" s="13">
        <f t="shared" si="180"/>
        <v>97446.267999999996</v>
      </c>
      <c r="ED38" s="92" t="s">
        <v>2</v>
      </c>
      <c r="EE38" s="59"/>
      <c r="EF38" s="59"/>
      <c r="EG38" s="13">
        <f>EG35+EG34+EG28+EG24+EG14+EG10+EG36+EG37</f>
        <v>111478.336</v>
      </c>
      <c r="EH38" s="106">
        <f>EH35+EH34+EH28+EH24+EH14+EH10+EH36+EH37</f>
        <v>104188.048</v>
      </c>
      <c r="EI38" s="134" t="s">
        <v>2</v>
      </c>
      <c r="EJ38" s="132"/>
      <c r="EK38" s="139">
        <f>EK37+EK36++EK34+EK14++EK9+EK23+EK28+EK33+EK32+EK31</f>
        <v>997828.74399999995</v>
      </c>
      <c r="EL38" s="139">
        <f t="shared" ref="EL38:EN38" si="181">EL37+EL36++EL34+EL14++EL9+EL23+EL28+EL33+EL32+EL31</f>
        <v>1051195.852</v>
      </c>
      <c r="EM38" s="139">
        <f t="shared" si="181"/>
        <v>861913</v>
      </c>
      <c r="EN38" s="139">
        <f t="shared" si="181"/>
        <v>633243.28</v>
      </c>
      <c r="EO38" s="139">
        <f>EO37+EO36++EO34+EO14++EO9+EO23+EO28+EO33+EO32+EO31+EO35</f>
        <v>1037959.12</v>
      </c>
      <c r="EP38" s="173">
        <v>22383142.809999999</v>
      </c>
      <c r="EQ38" s="173">
        <f>EP38/12</f>
        <v>1865261.9008333331</v>
      </c>
      <c r="ER38" s="175">
        <f>EQ38*5/100</f>
        <v>93263.09504166666</v>
      </c>
      <c r="ES38" s="176"/>
    </row>
    <row r="39" spans="1:149" s="2" customFormat="1" ht="25.5" customHeight="1" x14ac:dyDescent="0.2">
      <c r="A39" s="61" t="s">
        <v>1</v>
      </c>
      <c r="B39" s="70"/>
      <c r="C39" s="60"/>
      <c r="D39" s="152">
        <v>482.6</v>
      </c>
      <c r="E39" s="152">
        <v>591.1</v>
      </c>
      <c r="F39" s="152">
        <v>723.5</v>
      </c>
      <c r="G39" s="152">
        <v>461.3</v>
      </c>
      <c r="H39" s="152">
        <v>427</v>
      </c>
      <c r="I39" s="152">
        <v>1363.5</v>
      </c>
      <c r="J39" s="152">
        <v>582.79999999999995</v>
      </c>
      <c r="K39" s="152">
        <v>580.5</v>
      </c>
      <c r="L39" s="152">
        <v>552.20000000000005</v>
      </c>
      <c r="M39" s="152">
        <v>564.4</v>
      </c>
      <c r="N39" s="152">
        <v>603.29999999999995</v>
      </c>
      <c r="O39" s="152">
        <v>346</v>
      </c>
      <c r="P39" s="152">
        <v>809</v>
      </c>
      <c r="Q39" s="152">
        <v>623.9</v>
      </c>
      <c r="R39" s="152">
        <v>624.1</v>
      </c>
      <c r="S39" s="152">
        <v>579.9</v>
      </c>
      <c r="T39" s="152">
        <v>464.9</v>
      </c>
      <c r="U39" s="152">
        <v>633</v>
      </c>
      <c r="V39" s="152">
        <v>523</v>
      </c>
      <c r="W39" s="152">
        <v>728.3</v>
      </c>
      <c r="X39" s="152">
        <v>492.6</v>
      </c>
      <c r="Y39" s="152">
        <v>563</v>
      </c>
      <c r="Z39" s="152">
        <v>428.8</v>
      </c>
      <c r="AA39" s="152">
        <v>598.29999999999995</v>
      </c>
      <c r="AB39" s="152">
        <v>457.4</v>
      </c>
      <c r="AC39" s="152">
        <v>504.9</v>
      </c>
      <c r="AD39" s="152">
        <v>475.3</v>
      </c>
      <c r="AE39" s="152">
        <v>460.5</v>
      </c>
      <c r="AF39" s="152">
        <v>563.70000000000005</v>
      </c>
      <c r="AG39" s="152">
        <v>728.9</v>
      </c>
      <c r="AH39" s="152">
        <v>462.7</v>
      </c>
      <c r="AI39" s="152">
        <v>455.9</v>
      </c>
      <c r="AJ39" s="152">
        <v>516.5</v>
      </c>
      <c r="AK39" s="152">
        <v>516.9</v>
      </c>
      <c r="AL39" s="152">
        <v>513.6</v>
      </c>
      <c r="AM39" s="152">
        <v>472.5</v>
      </c>
      <c r="AN39" s="152">
        <v>476.9</v>
      </c>
      <c r="AO39" s="152">
        <v>482.6</v>
      </c>
      <c r="AP39" s="152">
        <v>473.8</v>
      </c>
      <c r="AQ39" s="152">
        <v>518.5</v>
      </c>
      <c r="AR39" s="152">
        <v>563.70000000000005</v>
      </c>
      <c r="AS39" s="152">
        <v>481.7</v>
      </c>
      <c r="AT39" s="152">
        <v>876.7</v>
      </c>
      <c r="AU39" s="152">
        <v>475</v>
      </c>
      <c r="AV39" s="152">
        <v>455.9</v>
      </c>
      <c r="AW39" s="152">
        <v>485.5</v>
      </c>
      <c r="AX39" s="152">
        <v>575.9</v>
      </c>
      <c r="AY39" s="152">
        <v>428.9</v>
      </c>
      <c r="AZ39" s="152">
        <v>727.7</v>
      </c>
      <c r="BA39" s="152">
        <v>419.5</v>
      </c>
      <c r="BB39" s="152">
        <v>595.4</v>
      </c>
      <c r="BC39" s="152">
        <v>739.9</v>
      </c>
      <c r="BD39" s="152">
        <v>974.4</v>
      </c>
      <c r="BE39" s="152">
        <v>568.29999999999995</v>
      </c>
      <c r="BF39" s="152">
        <v>663.9</v>
      </c>
      <c r="BG39" s="152">
        <v>531.4</v>
      </c>
      <c r="BH39" s="152">
        <v>804</v>
      </c>
      <c r="BI39" s="152">
        <v>421.7</v>
      </c>
      <c r="BJ39" s="152">
        <v>346.4</v>
      </c>
      <c r="BK39" s="152">
        <v>473.4</v>
      </c>
      <c r="BL39" s="152">
        <v>487.5</v>
      </c>
      <c r="BM39" s="152">
        <v>543.70000000000005</v>
      </c>
      <c r="BN39" s="152">
        <v>516.9</v>
      </c>
      <c r="BO39" s="152">
        <v>586.9</v>
      </c>
      <c r="BP39" s="152">
        <v>437.3</v>
      </c>
      <c r="BQ39" s="152">
        <v>431.2</v>
      </c>
      <c r="BR39" s="152">
        <v>468.8</v>
      </c>
      <c r="BS39" s="152">
        <v>609.29999999999995</v>
      </c>
      <c r="BT39" s="152">
        <v>552.9</v>
      </c>
      <c r="BU39" s="152">
        <v>503.9</v>
      </c>
      <c r="BV39" s="152">
        <v>525.6</v>
      </c>
      <c r="BW39" s="152">
        <v>507.2</v>
      </c>
      <c r="BX39" s="152">
        <v>506.5</v>
      </c>
      <c r="BY39" s="152">
        <v>497.9</v>
      </c>
      <c r="BZ39" s="152">
        <v>516</v>
      </c>
      <c r="CA39" s="152">
        <v>526.6</v>
      </c>
      <c r="CB39" s="152">
        <v>518.4</v>
      </c>
      <c r="CC39" s="152">
        <v>548.9</v>
      </c>
      <c r="CD39" s="152">
        <v>463</v>
      </c>
      <c r="CE39" s="152">
        <v>390</v>
      </c>
      <c r="CF39" s="152">
        <v>445.5</v>
      </c>
      <c r="CG39" s="152">
        <v>523.79999999999995</v>
      </c>
      <c r="CH39" s="152">
        <v>565.1</v>
      </c>
      <c r="CI39" s="152">
        <v>430.7</v>
      </c>
      <c r="CJ39" s="92" t="s">
        <v>1</v>
      </c>
      <c r="CK39" s="59"/>
      <c r="CL39" s="60"/>
      <c r="CM39" s="39">
        <v>489.9</v>
      </c>
      <c r="CN39" s="39">
        <v>455.9</v>
      </c>
      <c r="CO39" s="39">
        <v>459.8</v>
      </c>
      <c r="CP39" s="39">
        <v>517.20000000000005</v>
      </c>
      <c r="CQ39" s="39">
        <v>516.1</v>
      </c>
      <c r="CR39" s="92" t="s">
        <v>1</v>
      </c>
      <c r="CS39" s="59"/>
      <c r="CT39" s="60"/>
      <c r="CU39" s="153">
        <v>454.4</v>
      </c>
      <c r="CV39" s="153">
        <v>462.2</v>
      </c>
      <c r="CW39" s="153">
        <v>465.8</v>
      </c>
      <c r="CX39" s="153">
        <v>472.9</v>
      </c>
      <c r="CY39" s="153">
        <v>457.6</v>
      </c>
      <c r="CZ39" s="153">
        <v>462.8</v>
      </c>
      <c r="DA39" s="92" t="s">
        <v>1</v>
      </c>
      <c r="DB39" s="59"/>
      <c r="DC39" s="60"/>
      <c r="DD39" s="146">
        <v>489.9</v>
      </c>
      <c r="DE39" s="146">
        <v>554.5</v>
      </c>
      <c r="DF39" s="146">
        <v>994.1</v>
      </c>
      <c r="DG39" s="146">
        <v>448</v>
      </c>
      <c r="DH39" s="146">
        <v>565</v>
      </c>
      <c r="DI39" s="146">
        <v>566.1</v>
      </c>
      <c r="DJ39" s="146">
        <v>505.2</v>
      </c>
      <c r="DK39" s="146">
        <v>509.2</v>
      </c>
      <c r="DL39" s="146">
        <v>568.9</v>
      </c>
      <c r="DM39" s="146">
        <v>479.9</v>
      </c>
      <c r="DN39" s="146">
        <v>557.29999999999995</v>
      </c>
      <c r="DO39" s="146">
        <v>451.2</v>
      </c>
      <c r="DP39" s="146">
        <v>719.4</v>
      </c>
      <c r="DQ39" s="146">
        <v>454.3</v>
      </c>
      <c r="DR39" s="146">
        <v>479.4</v>
      </c>
      <c r="DS39" s="146">
        <v>462.4</v>
      </c>
      <c r="DT39" s="146">
        <v>466.7</v>
      </c>
      <c r="DU39" s="146">
        <v>420.4</v>
      </c>
      <c r="DV39" s="146">
        <v>886.1</v>
      </c>
      <c r="DW39" s="146">
        <v>533.79999999999995</v>
      </c>
      <c r="DX39" s="92" t="s">
        <v>1</v>
      </c>
      <c r="DY39" s="59"/>
      <c r="DZ39" s="60"/>
      <c r="EA39" s="145">
        <v>489.9</v>
      </c>
      <c r="EB39" s="145">
        <v>465.9</v>
      </c>
      <c r="EC39" s="145">
        <v>467.9</v>
      </c>
      <c r="ED39" s="92" t="s">
        <v>1</v>
      </c>
      <c r="EE39" s="59"/>
      <c r="EF39" s="60"/>
      <c r="EG39" s="143">
        <v>455.9</v>
      </c>
      <c r="EH39" s="144">
        <v>415.8</v>
      </c>
      <c r="EI39" s="134" t="s">
        <v>1</v>
      </c>
      <c r="EJ39" s="137"/>
      <c r="EK39" s="135">
        <v>3765.4</v>
      </c>
      <c r="EL39" s="135">
        <v>3946.3</v>
      </c>
      <c r="EM39" s="135">
        <v>2536.1</v>
      </c>
      <c r="EN39" s="135">
        <v>2309.1999999999998</v>
      </c>
      <c r="EO39" s="135">
        <v>3735.1</v>
      </c>
      <c r="EP39" s="173">
        <v>81054.399999999994</v>
      </c>
      <c r="EQ39" s="177"/>
      <c r="ER39" s="174">
        <f>EP39*70*80/100</f>
        <v>4539046.4000000004</v>
      </c>
      <c r="ES39" s="178"/>
    </row>
    <row r="40" spans="1:149" s="2" customFormat="1" ht="25.5" customHeight="1" x14ac:dyDescent="0.2">
      <c r="A40" s="61" t="s">
        <v>130</v>
      </c>
      <c r="B40" s="71"/>
      <c r="C40" s="60"/>
      <c r="D40" s="14">
        <f>D38 /12/D39</f>
        <v>24.125068379610443</v>
      </c>
      <c r="E40" s="14">
        <f t="shared" ref="E40:AK40" si="182">E38 /12/E39</f>
        <v>24.387350702080862</v>
      </c>
      <c r="F40" s="14">
        <f t="shared" si="182"/>
        <v>24.29385625431928</v>
      </c>
      <c r="G40" s="14">
        <f t="shared" si="182"/>
        <v>24.684866681118574</v>
      </c>
      <c r="H40" s="14">
        <f t="shared" si="182"/>
        <v>24.793700234192041</v>
      </c>
      <c r="I40" s="14">
        <f t="shared" si="182"/>
        <v>23.588379171250459</v>
      </c>
      <c r="J40" s="14">
        <f t="shared" si="182"/>
        <v>24.402409059711733</v>
      </c>
      <c r="K40" s="14">
        <f t="shared" si="182"/>
        <v>24.406658053402236</v>
      </c>
      <c r="L40" s="14">
        <f t="shared" si="182"/>
        <v>24.561836291198841</v>
      </c>
      <c r="M40" s="14">
        <f t="shared" si="182"/>
        <v>24.637370659107017</v>
      </c>
      <c r="N40" s="14">
        <f t="shared" si="182"/>
        <v>24.46596883805735</v>
      </c>
      <c r="O40" s="14">
        <f t="shared" si="182"/>
        <v>25.236358381502885</v>
      </c>
      <c r="P40" s="14">
        <f t="shared" si="182"/>
        <v>24.102558714462301</v>
      </c>
      <c r="Q40" s="14">
        <f t="shared" si="182"/>
        <v>24.431763103061389</v>
      </c>
      <c r="R40" s="14">
        <f t="shared" si="182"/>
        <v>24.431442076590294</v>
      </c>
      <c r="S40" s="14">
        <f t="shared" si="182"/>
        <v>24.507772029660284</v>
      </c>
      <c r="T40" s="14">
        <f t="shared" si="182"/>
        <v>24.774375134437509</v>
      </c>
      <c r="U40" s="14">
        <f t="shared" si="182"/>
        <v>24.41736176935229</v>
      </c>
      <c r="V40" s="14">
        <f t="shared" si="182"/>
        <v>24.525028680688333</v>
      </c>
      <c r="W40" s="14">
        <f t="shared" si="182"/>
        <v>24.288162844981464</v>
      </c>
      <c r="X40" s="14">
        <f t="shared" si="182"/>
        <v>24.798777913114083</v>
      </c>
      <c r="Y40" s="14">
        <f t="shared" si="182"/>
        <v>24.540124333925398</v>
      </c>
      <c r="Z40" s="14">
        <f t="shared" si="182"/>
        <v>24.987555970149256</v>
      </c>
      <c r="AA40" s="14">
        <f t="shared" ref="AA40" si="183">AA38 /12/AA39</f>
        <v>23.754626441584485</v>
      </c>
      <c r="AB40" s="14">
        <f t="shared" si="182"/>
        <v>24.796418889374728</v>
      </c>
      <c r="AC40" s="14">
        <f t="shared" si="182"/>
        <v>24.567868884927705</v>
      </c>
      <c r="AD40" s="14">
        <f t="shared" si="182"/>
        <v>25.144958973280033</v>
      </c>
      <c r="AE40" s="14">
        <f t="shared" si="182"/>
        <v>24.687220412595003</v>
      </c>
      <c r="AF40" s="14">
        <f t="shared" si="182"/>
        <v>24.638745786766005</v>
      </c>
      <c r="AG40" s="14">
        <f t="shared" si="182"/>
        <v>22.937456441212785</v>
      </c>
      <c r="AH40" s="14">
        <f t="shared" si="182"/>
        <v>23.430767235789929</v>
      </c>
      <c r="AI40" s="14">
        <f t="shared" ref="AI40" si="184">AI38 /12/AI39</f>
        <v>23.450914674270678</v>
      </c>
      <c r="AJ40" s="14">
        <f t="shared" si="182"/>
        <v>23.390067763794775</v>
      </c>
      <c r="AK40" s="14">
        <f t="shared" si="182"/>
        <v>23.389131360030952</v>
      </c>
      <c r="AL40" s="14">
        <f t="shared" ref="AL40:BQ40" si="185">AL38 /12/AL39</f>
        <v>23.396900311526476</v>
      </c>
      <c r="AM40" s="14">
        <f t="shared" si="185"/>
        <v>23.302751322751327</v>
      </c>
      <c r="AN40" s="14">
        <f t="shared" si="185"/>
        <v>23.29054728454603</v>
      </c>
      <c r="AO40" s="14">
        <f t="shared" si="185"/>
        <v>23.275068379610445</v>
      </c>
      <c r="AP40" s="14">
        <f t="shared" si="185"/>
        <v>23.299121992401851</v>
      </c>
      <c r="AQ40" s="14">
        <f t="shared" si="185"/>
        <v>23.18540019286403</v>
      </c>
      <c r="AR40" s="14">
        <f t="shared" si="185"/>
        <v>23.088745786766012</v>
      </c>
      <c r="AS40" s="14">
        <f t="shared" si="185"/>
        <v>23.377488063109819</v>
      </c>
      <c r="AT40" s="14">
        <f t="shared" si="185"/>
        <v>22.692900650165388</v>
      </c>
      <c r="AU40" s="14">
        <f t="shared" si="185"/>
        <v>23.295789473684209</v>
      </c>
      <c r="AV40" s="14">
        <f t="shared" si="185"/>
        <v>23.550914674270675</v>
      </c>
      <c r="AW40" s="14">
        <f t="shared" si="185"/>
        <v>23.467332646755921</v>
      </c>
      <c r="AX40" s="14">
        <f t="shared" si="185"/>
        <v>23.165257857266884</v>
      </c>
      <c r="AY40" s="14">
        <f t="shared" si="185"/>
        <v>23.537216134297037</v>
      </c>
      <c r="AZ40" s="14">
        <f t="shared" si="185"/>
        <v>22.938870413631992</v>
      </c>
      <c r="BA40" s="14">
        <f t="shared" si="185"/>
        <v>23.769868891537541</v>
      </c>
      <c r="BB40" s="14">
        <f t="shared" si="185"/>
        <v>23.129714477662077</v>
      </c>
      <c r="BC40" s="14">
        <f t="shared" si="185"/>
        <v>23.724708744424923</v>
      </c>
      <c r="BD40" s="14">
        <f t="shared" si="185"/>
        <v>22.621420361247942</v>
      </c>
      <c r="BE40" s="14">
        <f t="shared" si="185"/>
        <v>23.179771247580504</v>
      </c>
      <c r="BF40" s="14">
        <f t="shared" si="185"/>
        <v>23.021406838379271</v>
      </c>
      <c r="BG40" s="14">
        <f t="shared" si="185"/>
        <v>23.256138502070002</v>
      </c>
      <c r="BH40" s="14">
        <f t="shared" si="185"/>
        <v>22.757363184079594</v>
      </c>
      <c r="BI40" s="14">
        <f t="shared" si="185"/>
        <v>23.462096276974151</v>
      </c>
      <c r="BJ40" s="14">
        <f t="shared" si="185"/>
        <v>24.984272517321013</v>
      </c>
      <c r="BK40" s="14">
        <f t="shared" si="185"/>
        <v>25.150236586396279</v>
      </c>
      <c r="BL40" s="14">
        <f t="shared" si="185"/>
        <v>24.712051282051281</v>
      </c>
      <c r="BM40" s="14">
        <f t="shared" si="185"/>
        <v>24.479530991355524</v>
      </c>
      <c r="BN40" s="14">
        <f t="shared" si="185"/>
        <v>24.539131360030954</v>
      </c>
      <c r="BO40" s="14">
        <f t="shared" si="185"/>
        <v>24.394917362412677</v>
      </c>
      <c r="BP40" s="14">
        <f t="shared" si="185"/>
        <v>24.85922478847473</v>
      </c>
      <c r="BQ40" s="14">
        <f t="shared" si="185"/>
        <v>24.679443413729128</v>
      </c>
      <c r="BR40" s="14">
        <f t="shared" ref="BR40:CI40" si="186">BR38 /12/BR39</f>
        <v>24.763191126279867</v>
      </c>
      <c r="BS40" s="14">
        <f t="shared" si="186"/>
        <v>24.35576727392089</v>
      </c>
      <c r="BT40" s="14">
        <f t="shared" si="186"/>
        <v>24.560403327907395</v>
      </c>
      <c r="BU40" s="14">
        <f t="shared" si="186"/>
        <v>24.570325461401076</v>
      </c>
      <c r="BV40" s="14">
        <f t="shared" si="186"/>
        <v>24.719117199391171</v>
      </c>
      <c r="BW40" s="14">
        <f t="shared" si="186"/>
        <v>24.562255520504728</v>
      </c>
      <c r="BX40" s="14">
        <f t="shared" si="186"/>
        <v>24.563958538993095</v>
      </c>
      <c r="BY40" s="14">
        <f t="shared" si="186"/>
        <v>24.585272143000601</v>
      </c>
      <c r="BZ40" s="14">
        <f t="shared" si="186"/>
        <v>24.541240310077516</v>
      </c>
      <c r="CA40" s="14">
        <f t="shared" si="186"/>
        <v>24.516859096088112</v>
      </c>
      <c r="CB40" s="14">
        <f t="shared" si="186"/>
        <v>24.435632716049383</v>
      </c>
      <c r="CC40" s="14">
        <f t="shared" si="186"/>
        <v>24.568640918200035</v>
      </c>
      <c r="CD40" s="14">
        <f t="shared" si="186"/>
        <v>24.779892008639305</v>
      </c>
      <c r="CE40" s="14">
        <f t="shared" si="186"/>
        <v>23.782564102564098</v>
      </c>
      <c r="CF40" s="14">
        <f t="shared" si="186"/>
        <v>23.482918069584734</v>
      </c>
      <c r="CG40" s="14">
        <f t="shared" si="186"/>
        <v>23.273203512791135</v>
      </c>
      <c r="CH40" s="14">
        <f t="shared" si="186"/>
        <v>23.285998938241018</v>
      </c>
      <c r="CI40" s="14">
        <f t="shared" si="186"/>
        <v>24.531126073833295</v>
      </c>
      <c r="CJ40" s="61" t="s">
        <v>144</v>
      </c>
      <c r="CK40" s="60"/>
      <c r="CL40" s="60"/>
      <c r="CM40" s="14">
        <f t="shared" ref="CM40:CN40" si="187">CM38/12/CM39</f>
        <v>23.055770565421515</v>
      </c>
      <c r="CN40" s="14">
        <f t="shared" si="187"/>
        <v>21.800914674270675</v>
      </c>
      <c r="CO40" s="14">
        <f t="shared" ref="CO40:CP40" si="188">CO38/12/CO39</f>
        <v>21.789286646367984</v>
      </c>
      <c r="CP40" s="14">
        <f t="shared" si="188"/>
        <v>21.638430007733952</v>
      </c>
      <c r="CQ40" s="14">
        <f t="shared" ref="CQ40" si="189">CQ38/12/CQ39</f>
        <v>21.641005619066071</v>
      </c>
      <c r="CR40" s="61" t="s">
        <v>144</v>
      </c>
      <c r="CS40" s="60"/>
      <c r="CT40" s="60"/>
      <c r="CU40" s="14">
        <f t="shared" ref="CU40:CZ40" si="190">CU38/12/CU39</f>
        <v>24.655440140845073</v>
      </c>
      <c r="CV40" s="14">
        <f t="shared" si="190"/>
        <v>24.632228472522712</v>
      </c>
      <c r="CW40" s="14">
        <f t="shared" si="190"/>
        <v>24.621777586947189</v>
      </c>
      <c r="CX40" s="14">
        <f t="shared" si="190"/>
        <v>24.501632480439842</v>
      </c>
      <c r="CY40" s="14">
        <f t="shared" si="190"/>
        <v>26.145821678321678</v>
      </c>
      <c r="CZ40" s="14">
        <f t="shared" si="190"/>
        <v>24.630475367329296</v>
      </c>
      <c r="DA40" s="61" t="s">
        <v>144</v>
      </c>
      <c r="DB40" s="60"/>
      <c r="DC40" s="60"/>
      <c r="DD40" s="14">
        <f t="shared" ref="DD40" si="191">DD38/12/DD39</f>
        <v>18.415256855140505</v>
      </c>
      <c r="DE40" s="14">
        <f t="shared" ref="DE40:DW40" si="192">DE38 /12/DE39</f>
        <v>18.465713856327021</v>
      </c>
      <c r="DF40" s="14">
        <f t="shared" si="192"/>
        <v>18.199569795124564</v>
      </c>
      <c r="DG40" s="14">
        <f t="shared" si="192"/>
        <v>18.555029761904763</v>
      </c>
      <c r="DH40" s="14">
        <f t="shared" si="192"/>
        <v>18.558731563421826</v>
      </c>
      <c r="DI40" s="14">
        <f t="shared" si="192"/>
        <v>18.558015073897426</v>
      </c>
      <c r="DJ40" s="14">
        <f t="shared" si="192"/>
        <v>19.852377936130907</v>
      </c>
      <c r="DK40" s="14">
        <f t="shared" si="192"/>
        <v>19.84913851793663</v>
      </c>
      <c r="DL40" s="14">
        <f t="shared" si="192"/>
        <v>19.806203785082321</v>
      </c>
      <c r="DM40" s="14">
        <f t="shared" si="192"/>
        <v>19.874118219073416</v>
      </c>
      <c r="DN40" s="14">
        <f t="shared" si="192"/>
        <v>19.913826185776664</v>
      </c>
      <c r="DO40" s="14">
        <f t="shared" si="192"/>
        <v>18.651731678486993</v>
      </c>
      <c r="DP40" s="14">
        <f t="shared" si="192"/>
        <v>18.279593179501436</v>
      </c>
      <c r="DQ40" s="14">
        <f t="shared" si="192"/>
        <v>18.548580967055546</v>
      </c>
      <c r="DR40" s="14">
        <f t="shared" si="192"/>
        <v>18.424570991517172</v>
      </c>
      <c r="DS40" s="14">
        <f t="shared" si="192"/>
        <v>18.540547866205305</v>
      </c>
      <c r="DT40" s="14">
        <f t="shared" si="192"/>
        <v>18.436396685950999</v>
      </c>
      <c r="DU40" s="14">
        <f t="shared" si="192"/>
        <v>20.035559784332381</v>
      </c>
      <c r="DV40" s="14">
        <f t="shared" si="192"/>
        <v>19.475112665989538</v>
      </c>
      <c r="DW40" s="14">
        <f t="shared" si="192"/>
        <v>20.030283501935806</v>
      </c>
      <c r="DX40" s="61" t="s">
        <v>144</v>
      </c>
      <c r="DY40" s="60"/>
      <c r="DZ40" s="60">
        <f>DZ14+DZ24+DZ28+DZ35+DZ9+DZ37+DZ36</f>
        <v>15.660000000000002</v>
      </c>
      <c r="EA40" s="14">
        <f t="shared" ref="EA40" si="193">EA38/12/EA39</f>
        <v>17.135256855140504</v>
      </c>
      <c r="EB40" s="14">
        <f t="shared" ref="EB40:EC40" si="194">EB38/12/EB39</f>
        <v>17.157163196680262</v>
      </c>
      <c r="EC40" s="14">
        <f t="shared" si="194"/>
        <v>17.35525183443756</v>
      </c>
      <c r="ED40" s="61" t="s">
        <v>144</v>
      </c>
      <c r="EE40" s="60"/>
      <c r="EF40" s="60"/>
      <c r="EG40" s="14">
        <f t="shared" ref="EG40:EH40" si="195">EG38 /12/EG39</f>
        <v>20.376971558090222</v>
      </c>
      <c r="EH40" s="107">
        <f t="shared" si="195"/>
        <v>20.881042167708834</v>
      </c>
      <c r="EI40" s="124" t="s">
        <v>208</v>
      </c>
      <c r="EJ40" s="133"/>
      <c r="EK40" s="14">
        <f t="shared" ref="EK40:EO40" si="196">EK38/12/EK39</f>
        <v>22.083283405038863</v>
      </c>
      <c r="EL40" s="14">
        <f t="shared" si="196"/>
        <v>22.197920668305329</v>
      </c>
      <c r="EM40" s="14">
        <f>EM38/12/EM39</f>
        <v>28.321471287935545</v>
      </c>
      <c r="EN40" s="14">
        <f t="shared" si="196"/>
        <v>22.852188348057052</v>
      </c>
      <c r="EO40" s="14">
        <f t="shared" si="196"/>
        <v>23.157771768716593</v>
      </c>
      <c r="EP40" s="19"/>
      <c r="EQ40" s="19"/>
      <c r="ES40" s="27"/>
    </row>
    <row r="41" spans="1:149" s="2" customFormat="1" ht="15.75" customHeight="1" x14ac:dyDescent="0.2">
      <c r="A41" s="18"/>
      <c r="B41" s="22"/>
      <c r="C41" s="22"/>
      <c r="D41" s="19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22"/>
      <c r="CK41" s="22"/>
      <c r="CL41" s="22"/>
      <c r="CM41" s="7"/>
      <c r="CN41" s="7"/>
      <c r="CO41" s="7"/>
      <c r="CP41" s="7"/>
      <c r="CQ41" s="7"/>
      <c r="CR41" s="7"/>
      <c r="CS41" s="7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1"/>
      <c r="DY41" s="1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138"/>
      <c r="EL41" s="138"/>
      <c r="EM41" s="138"/>
      <c r="EN41" s="138"/>
    </row>
    <row r="42" spans="1:149" s="2" customFormat="1" ht="25.5" customHeight="1" x14ac:dyDescent="0.2">
      <c r="A42" s="18"/>
      <c r="B42" s="22"/>
      <c r="C42" s="22"/>
      <c r="D42" s="1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22"/>
      <c r="CK42" s="22"/>
      <c r="CL42" s="22"/>
      <c r="CM42" s="7"/>
      <c r="CN42" s="7"/>
      <c r="CO42" s="7"/>
      <c r="CP42" s="7"/>
      <c r="CQ42" s="7"/>
      <c r="CR42" s="7"/>
      <c r="CS42" s="7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1"/>
      <c r="DY42" s="1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</row>
    <row r="43" spans="1:149" s="1" customFormat="1" ht="12.75" customHeight="1" x14ac:dyDescent="0.2">
      <c r="A43" s="6"/>
      <c r="B43" s="20"/>
      <c r="C43" s="2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52"/>
      <c r="CK43" s="20"/>
      <c r="CL43" s="20"/>
      <c r="CM43" s="7"/>
      <c r="CN43" s="7"/>
      <c r="CO43" s="7"/>
      <c r="CP43" s="7"/>
      <c r="CQ43" s="7"/>
      <c r="CR43" s="7"/>
      <c r="CS43" s="7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R43" s="154"/>
    </row>
    <row r="44" spans="1:149" s="1" customFormat="1" ht="12.75" hidden="1" customHeight="1" x14ac:dyDescent="0.2">
      <c r="A44" s="6"/>
      <c r="B44" s="20"/>
      <c r="C44" s="2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52"/>
      <c r="CK44" s="20"/>
      <c r="CL44" s="20"/>
      <c r="CM44" s="7"/>
      <c r="CN44" s="7"/>
      <c r="CO44" s="7"/>
      <c r="CP44" s="7"/>
      <c r="CQ44" s="7"/>
      <c r="CR44" s="7"/>
      <c r="CS44" s="7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R44" s="154"/>
    </row>
    <row r="45" spans="1:149" s="1" customFormat="1" x14ac:dyDescent="0.2">
      <c r="A45" s="6"/>
      <c r="B45" s="20"/>
      <c r="C45" s="2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52"/>
      <c r="CK45" s="20"/>
      <c r="CL45" s="20"/>
      <c r="CM45" s="7"/>
      <c r="CN45" s="7"/>
      <c r="CO45" s="7"/>
      <c r="CP45" s="7"/>
      <c r="CQ45" s="7"/>
      <c r="CR45" s="7"/>
      <c r="CS45" s="7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R45" s="154"/>
    </row>
    <row r="46" spans="1:149" s="1" customFormat="1" x14ac:dyDescent="0.2">
      <c r="A46" s="6"/>
      <c r="B46" s="20"/>
      <c r="C46" s="2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52"/>
      <c r="CK46" s="20"/>
      <c r="CL46" s="20"/>
      <c r="CM46" s="7"/>
      <c r="CN46" s="7"/>
      <c r="CO46" s="7"/>
      <c r="CP46" s="7"/>
      <c r="CQ46" s="7"/>
      <c r="CR46" s="7"/>
      <c r="CS46" s="7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R46" s="154"/>
    </row>
    <row r="47" spans="1:149" s="1" customFormat="1" x14ac:dyDescent="0.2">
      <c r="A47" s="6" t="s">
        <v>0</v>
      </c>
      <c r="B47" s="20"/>
      <c r="C47" s="2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52"/>
      <c r="CK47" s="20"/>
      <c r="CL47" s="20"/>
      <c r="CM47" s="7"/>
      <c r="CN47" s="7"/>
      <c r="CO47" s="7"/>
      <c r="CP47" s="7"/>
      <c r="CQ47" s="7"/>
      <c r="CR47" s="7"/>
      <c r="CS47" s="7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R47" s="154"/>
    </row>
    <row r="48" spans="1:149" s="1" customFormat="1" x14ac:dyDescent="0.2">
      <c r="A48" s="6"/>
      <c r="B48" s="20"/>
      <c r="C48" s="2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52"/>
      <c r="CK48" s="20"/>
      <c r="CL48" s="20"/>
      <c r="CM48" s="7"/>
      <c r="CN48" s="7"/>
      <c r="CO48" s="7"/>
      <c r="CP48" s="7"/>
      <c r="CQ48" s="7"/>
      <c r="CR48" s="7"/>
      <c r="CS48" s="7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R48" s="154"/>
    </row>
  </sheetData>
  <mergeCells count="18">
    <mergeCell ref="DZ7:DZ8"/>
    <mergeCell ref="DA7:DA8"/>
    <mergeCell ref="A6:A8"/>
    <mergeCell ref="B7:B8"/>
    <mergeCell ref="ED7:ED8"/>
    <mergeCell ref="EI7:EI8"/>
    <mergeCell ref="EJ7:EJ8"/>
    <mergeCell ref="EE7:EE8"/>
    <mergeCell ref="EF7:EF8"/>
    <mergeCell ref="C7:C8"/>
    <mergeCell ref="CL7:CL8"/>
    <mergeCell ref="CR7:CR8"/>
    <mergeCell ref="CS7:CS8"/>
    <mergeCell ref="CT7:CT8"/>
    <mergeCell ref="DB7:DB8"/>
    <mergeCell ref="DC7:DC8"/>
    <mergeCell ref="DX7:DX8"/>
    <mergeCell ref="DY7:DY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2017-03-10T14:22:58Z</dcterms:modified>
</cp:coreProperties>
</file>